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tt.local\RPS\eur-mpfs-02.eur.rpsgroup.com\Projects\12426 Proposed DCO Scale Solar Development 860mw\Tech\Incoming\250930MS BNG metric\"/>
    </mc:Choice>
  </mc:AlternateContent>
  <xr:revisionPtr revIDLastSave="0" documentId="13_ncr:1_{21BB2520-74AF-4FDB-8296-73286C161CC1}" xr6:coauthVersionLast="47" xr6:coauthVersionMax="47" xr10:uidLastSave="{00000000-0000-0000-0000-000000000000}"/>
  <bookViews>
    <workbookView xWindow="-120" yWindow="-120" windowWidth="29040" windowHeight="15720" tabRatio="741" firstSheet="22" activeTab="24" xr2:uid="{00000000-000D-0000-FFFF-FFFF00000000}"/>
  </bookViews>
  <sheets>
    <sheet name="Introduction" sheetId="101" r:id="rId1"/>
    <sheet name="Start" sheetId="96" r:id="rId2"/>
    <sheet name="Instructions" sheetId="89" r:id="rId3"/>
    <sheet name="Irreplaceable Habitats" sheetId="106" r:id="rId4"/>
    <sheet name="Main Menu" sheetId="78" r:id="rId5"/>
    <sheet name="Results" sheetId="79" state="hidden"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r:id="rId12"/>
    <sheet name="A-1 On-Site Habitat Baseline" sheetId="11" r:id="rId13"/>
    <sheet name="A-2 On-Site Habitat Creation" sheetId="46" r:id="rId14"/>
    <sheet name="A-3 On-Site Habitat Enhancement" sheetId="32" r:id="rId15"/>
    <sheet name="D-1 Off-Site Habitat Baseline" sheetId="59" r:id="rId16"/>
    <sheet name="D-2 Off-Site Habitat Creation" sheetId="71" r:id="rId17"/>
    <sheet name="D-3 Off-Site Habitat Enhancment" sheetId="50" r:id="rId18"/>
    <sheet name="B-1 On-Site Hedge Baseline" sheetId="52" r:id="rId19"/>
    <sheet name="B-2 On-Site Hedge Creation" sheetId="42" r:id="rId20"/>
    <sheet name="B-3 On-Site Hedge Enhancement" sheetId="53" r:id="rId21"/>
    <sheet name="E-1 Off-Site Hedge Baseline" sheetId="55" r:id="rId22"/>
    <sheet name="E-2 Off-Site Hedge Creation" sheetId="58" r:id="rId23"/>
    <sheet name="E-3 Off-Site Hedge Enhancement" sheetId="57" r:id="rId24"/>
    <sheet name="C-1 On-Site WaterC' Baseline" sheetId="63" r:id="rId25"/>
    <sheet name="C-2 On-Site WaterC' Creation" sheetId="64" r:id="rId26"/>
    <sheet name="C-3 On-Site WaterC' Enhancement" sheetId="65" r:id="rId27"/>
    <sheet name="F-1 Off-Site WaterC' Baseline" sheetId="67" r:id="rId28"/>
    <sheet name="F-2 Off-Site WaterC' Creation" sheetId="68" r:id="rId29"/>
    <sheet name="F-3 Off-Site WaterC Enhancement" sheetId="69" r:id="rId30"/>
    <sheet name="G-1 All Habitats" sheetId="29" r:id="rId31"/>
    <sheet name="G-2 Habitat groups" sheetId="22" r:id="rId32"/>
    <sheet name="G-3 Multipliers" sheetId="28" r:id="rId33"/>
    <sheet name="G-4 Temporal multipliers" sheetId="20" r:id="rId34"/>
    <sheet name="G-5 Enhancement Temporal" sheetId="33" r:id="rId35"/>
    <sheet name="G-6 Hedgerow Data" sheetId="39" r:id="rId36"/>
    <sheet name="G-7 WaterC' Data" sheetId="66" r:id="rId37"/>
    <sheet name="G-8 Condition Look up" sheetId="99" r:id="rId38"/>
    <sheet name="Phase 1 Translation Tool" sheetId="103"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alcMode="manual"/>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X16" i="63" s="1"/>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P17" i="1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P20" i="1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P19" i="1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P22" i="11"/>
  <c r="P18" i="11"/>
  <c r="P14" i="11"/>
  <c r="W14" i="11" s="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W34" i="11" l="1"/>
  <c r="W27" i="11"/>
  <c r="X27" i="11"/>
  <c r="W40" i="11"/>
  <c r="X40" i="11"/>
  <c r="W37" i="11"/>
  <c r="W38" i="11"/>
  <c r="W39" i="11"/>
  <c r="W44" i="11"/>
  <c r="X44" i="11" s="1"/>
  <c r="W42" i="11"/>
  <c r="X42" i="11" s="1"/>
  <c r="W19" i="11"/>
  <c r="W18" i="11"/>
  <c r="W23" i="11"/>
  <c r="X23" i="11"/>
  <c r="W20" i="11"/>
  <c r="W25" i="11"/>
  <c r="X25" i="11"/>
  <c r="W22" i="11"/>
  <c r="X22" i="11"/>
  <c r="W31" i="11"/>
  <c r="W24" i="11"/>
  <c r="W17" i="11"/>
  <c r="W41" i="11"/>
  <c r="W26" i="11"/>
  <c r="X26" i="11"/>
  <c r="W35" i="11"/>
  <c r="X35" i="11"/>
  <c r="W28" i="11"/>
  <c r="X28" i="11"/>
  <c r="W21" i="11"/>
  <c r="W43" i="11"/>
  <c r="X43" i="11" s="1"/>
  <c r="W32" i="11"/>
  <c r="W29" i="11"/>
  <c r="W30" i="11"/>
  <c r="W36" i="11"/>
  <c r="W33" i="11"/>
  <c r="AD12" i="11"/>
  <c r="W12" i="11"/>
  <c r="AD14" i="11"/>
  <c r="AD15" i="11"/>
  <c r="AD13" i="11"/>
  <c r="Q171" i="11"/>
  <c r="AD171" i="11"/>
  <c r="Q178" i="11"/>
  <c r="AD178" i="11"/>
  <c r="Q115" i="11"/>
  <c r="AD115" i="11"/>
  <c r="Q192" i="11"/>
  <c r="AD192" i="11"/>
  <c r="Q81" i="11"/>
  <c r="AD81" i="11"/>
  <c r="Q149" i="11"/>
  <c r="AD149" i="11"/>
  <c r="Q213" i="11"/>
  <c r="AD213" i="11"/>
  <c r="Q195" i="11"/>
  <c r="AD195" i="11"/>
  <c r="AD38" i="11"/>
  <c r="Q94" i="11"/>
  <c r="AD94" i="11"/>
  <c r="Q126" i="11"/>
  <c r="AD126" i="11"/>
  <c r="Q150" i="11"/>
  <c r="AD150" i="11"/>
  <c r="Q182" i="11"/>
  <c r="AD182" i="11"/>
  <c r="Q210" i="11"/>
  <c r="AD210" i="11"/>
  <c r="Q238" i="11"/>
  <c r="AD238" i="11"/>
  <c r="AD39" i="11"/>
  <c r="Q103" i="11"/>
  <c r="AD103" i="11"/>
  <c r="Q175" i="11"/>
  <c r="AD175" i="11"/>
  <c r="Q59" i="11"/>
  <c r="AD59" i="11"/>
  <c r="Q123" i="11"/>
  <c r="AD123" i="11"/>
  <c r="Q211" i="11"/>
  <c r="AD211" i="11"/>
  <c r="AD36" i="11"/>
  <c r="Q68" i="11"/>
  <c r="AD68" i="11"/>
  <c r="Q100" i="11"/>
  <c r="AD100" i="11"/>
  <c r="Q132" i="11"/>
  <c r="AD132" i="11"/>
  <c r="Q164" i="11"/>
  <c r="AD164" i="11"/>
  <c r="Q196" i="11"/>
  <c r="AD196" i="11"/>
  <c r="Q224" i="11"/>
  <c r="AD224" i="11"/>
  <c r="Q252" i="11"/>
  <c r="AD252"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AD40" i="11"/>
  <c r="Q72" i="11"/>
  <c r="AD72" i="11"/>
  <c r="Q104" i="11"/>
  <c r="AD104" i="11"/>
  <c r="Q136" i="11"/>
  <c r="AD136" i="11"/>
  <c r="Q168" i="11"/>
  <c r="AD168" i="11"/>
  <c r="Q200" i="11"/>
  <c r="AD200" i="11"/>
  <c r="Q228" i="11"/>
  <c r="AD228" i="11"/>
  <c r="Q256" i="11"/>
  <c r="AD256"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AD27"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AD34" i="11"/>
  <c r="Q234" i="11"/>
  <c r="AD234" i="11"/>
  <c r="AD32" i="11"/>
  <c r="AD29" i="11"/>
  <c r="Q65" i="11"/>
  <c r="AD65" i="11"/>
  <c r="Q129" i="11"/>
  <c r="AD129" i="11"/>
  <c r="Q197" i="11"/>
  <c r="AD197" i="11"/>
  <c r="AD30" i="11"/>
  <c r="Q62" i="11"/>
  <c r="AD62" i="11"/>
  <c r="Q86" i="11"/>
  <c r="AD86" i="11"/>
  <c r="Q118" i="11"/>
  <c r="AD118" i="11"/>
  <c r="Q142" i="11"/>
  <c r="AD142" i="11"/>
  <c r="Q174" i="11"/>
  <c r="AD174" i="11"/>
  <c r="Q202" i="11"/>
  <c r="AD202" i="11"/>
  <c r="Q230" i="11"/>
  <c r="AD230" i="11"/>
  <c r="Q87" i="11"/>
  <c r="AD87" i="11"/>
  <c r="Q151" i="11"/>
  <c r="AD151" i="11"/>
  <c r="AD43" i="11"/>
  <c r="Q107" i="11"/>
  <c r="AD107" i="11"/>
  <c r="Q183" i="11"/>
  <c r="AD183"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s="1"/>
  <c r="S45" i="42"/>
  <c r="V45" i="42" s="1"/>
  <c r="S46" i="42"/>
  <c r="V46" i="42"/>
  <c r="S47" i="42"/>
  <c r="V47" i="42"/>
  <c r="S48" i="42"/>
  <c r="V48" i="42"/>
  <c r="S49" i="42"/>
  <c r="V49" i="42"/>
  <c r="S50" i="42"/>
  <c r="V50" i="42"/>
  <c r="S51" i="42"/>
  <c r="V51" i="42"/>
  <c r="S52" i="42"/>
  <c r="V52" i="42"/>
  <c r="S53" i="42"/>
  <c r="V53" i="42"/>
  <c r="S54" i="42"/>
  <c r="V54" i="42"/>
  <c r="S55" i="42"/>
  <c r="V55" i="42" s="1"/>
  <c r="S56" i="42"/>
  <c r="V56" i="42" s="1"/>
  <c r="S57" i="42"/>
  <c r="V57" i="42" s="1"/>
  <c r="S58" i="42"/>
  <c r="V58" i="42"/>
  <c r="S59" i="42"/>
  <c r="V59" i="42"/>
  <c r="S60" i="42"/>
  <c r="V60" i="42"/>
  <c r="S61" i="42"/>
  <c r="V61" i="42"/>
  <c r="S62" i="42"/>
  <c r="V62" i="42"/>
  <c r="S63" i="42"/>
  <c r="V63" i="42"/>
  <c r="S64" i="42"/>
  <c r="V64" i="42"/>
  <c r="S65" i="42"/>
  <c r="V65" i="42"/>
  <c r="S66" i="42"/>
  <c r="V66" i="42" s="1"/>
  <c r="S67" i="42"/>
  <c r="V67" i="42" s="1"/>
  <c r="S68" i="42"/>
  <c r="V68" i="42"/>
  <c r="S69" i="42"/>
  <c r="V69" i="42" s="1"/>
  <c r="S70" i="42"/>
  <c r="V70" i="42"/>
  <c r="S71" i="42"/>
  <c r="V71" i="42"/>
  <c r="S72" i="42"/>
  <c r="V72" i="42"/>
  <c r="S73" i="42"/>
  <c r="V73" i="42"/>
  <c r="S74" i="42"/>
  <c r="V74" i="42"/>
  <c r="S75" i="42"/>
  <c r="V75" i="42"/>
  <c r="S76" i="42"/>
  <c r="V76" i="42"/>
  <c r="S77" i="42"/>
  <c r="V77" i="42" s="1"/>
  <c r="S78" i="42"/>
  <c r="V78" i="42" s="1"/>
  <c r="S79" i="42"/>
  <c r="V79" i="42"/>
  <c r="S80" i="42"/>
  <c r="V80" i="42"/>
  <c r="S81" i="42"/>
  <c r="V81" i="42" s="1"/>
  <c r="S82" i="42"/>
  <c r="V82" i="42"/>
  <c r="S83" i="42"/>
  <c r="V83" i="42"/>
  <c r="S84" i="42"/>
  <c r="V84" i="42"/>
  <c r="S85" i="42"/>
  <c r="V85" i="42"/>
  <c r="S86" i="42"/>
  <c r="V86" i="42"/>
  <c r="S87" i="42"/>
  <c r="V87" i="42"/>
  <c r="S88" i="42"/>
  <c r="V88" i="42" s="1"/>
  <c r="S89" i="42"/>
  <c r="V89" i="42" s="1"/>
  <c r="S90" i="42"/>
  <c r="V90" i="42"/>
  <c r="S91" i="42"/>
  <c r="V91" i="42"/>
  <c r="S92" i="42"/>
  <c r="V92" i="42"/>
  <c r="S93" i="42"/>
  <c r="V93" i="42" s="1"/>
  <c r="S94" i="42"/>
  <c r="V94" i="42"/>
  <c r="S95" i="42"/>
  <c r="V95" i="42"/>
  <c r="S96" i="42"/>
  <c r="V96" i="42"/>
  <c r="S97" i="42"/>
  <c r="V97" i="42"/>
  <c r="S98" i="42"/>
  <c r="V98" i="42"/>
  <c r="S99" i="42"/>
  <c r="V99" i="42" s="1"/>
  <c r="S100" i="42"/>
  <c r="V100" i="42" s="1"/>
  <c r="S101" i="42"/>
  <c r="V101" i="42"/>
  <c r="S102" i="42"/>
  <c r="V102" i="42"/>
  <c r="S103" i="42"/>
  <c r="V103" i="42"/>
  <c r="S104" i="42"/>
  <c r="V104" i="42"/>
  <c r="S105" i="42"/>
  <c r="V105" i="42" s="1"/>
  <c r="S106" i="42"/>
  <c r="V106" i="42"/>
  <c r="S107" i="42"/>
  <c r="V107" i="42"/>
  <c r="S108" i="42"/>
  <c r="V108" i="42"/>
  <c r="S109" i="42"/>
  <c r="V109" i="42"/>
  <c r="S110" i="42"/>
  <c r="V110" i="42" s="1"/>
  <c r="S111" i="42"/>
  <c r="V111" i="42" s="1"/>
  <c r="S112" i="42"/>
  <c r="V112" i="42"/>
  <c r="S113" i="42"/>
  <c r="V113" i="42"/>
  <c r="S114" i="42"/>
  <c r="V114" i="42"/>
  <c r="S115" i="42"/>
  <c r="V115" i="42"/>
  <c r="S116" i="42"/>
  <c r="V116" i="42"/>
  <c r="S117" i="42"/>
  <c r="V117" i="42" s="1"/>
  <c r="S118" i="42"/>
  <c r="V118" i="42" s="1"/>
  <c r="S119" i="42"/>
  <c r="V119" i="42"/>
  <c r="S120" i="42"/>
  <c r="V120" i="42"/>
  <c r="S121" i="42"/>
  <c r="V121" i="42" s="1"/>
  <c r="S122" i="42"/>
  <c r="V122" i="42" s="1"/>
  <c r="S123" i="42"/>
  <c r="V123" i="42"/>
  <c r="S124" i="42"/>
  <c r="V124" i="42"/>
  <c r="S125" i="42"/>
  <c r="V125" i="42"/>
  <c r="S126" i="42"/>
  <c r="V126" i="42"/>
  <c r="S127" i="42"/>
  <c r="V127" i="42"/>
  <c r="S128" i="42"/>
  <c r="V128" i="42"/>
  <c r="S129" i="42"/>
  <c r="V129" i="42"/>
  <c r="S130" i="42"/>
  <c r="V130" i="42"/>
  <c r="S131" i="42"/>
  <c r="V131" i="42"/>
  <c r="S132" i="42"/>
  <c r="V132" i="42" s="1"/>
  <c r="S133" i="42"/>
  <c r="V133" i="42" s="1"/>
  <c r="S134" i="42"/>
  <c r="V134" i="42"/>
  <c r="S135" i="42"/>
  <c r="V135" i="42"/>
  <c r="S136" i="42"/>
  <c r="V136" i="42"/>
  <c r="S137" i="42"/>
  <c r="V137" i="42"/>
  <c r="S138" i="42"/>
  <c r="V138" i="42"/>
  <c r="S139" i="42"/>
  <c r="V139" i="42"/>
  <c r="S140" i="42"/>
  <c r="V140" i="42"/>
  <c r="S141" i="42"/>
  <c r="V141" i="42"/>
  <c r="S142" i="42"/>
  <c r="V142" i="42"/>
  <c r="S143" i="42"/>
  <c r="V143" i="42" s="1"/>
  <c r="S144" i="42"/>
  <c r="V144" i="42" s="1"/>
  <c r="S145" i="42"/>
  <c r="V145" i="42"/>
  <c r="S146" i="42"/>
  <c r="V146" i="42"/>
  <c r="S147" i="42"/>
  <c r="V147" i="42"/>
  <c r="S148" i="42"/>
  <c r="V148" i="42"/>
  <c r="S149" i="42"/>
  <c r="V149" i="42"/>
  <c r="S150" i="42"/>
  <c r="V150" i="42" s="1"/>
  <c r="S151" i="42"/>
  <c r="V151" i="42"/>
  <c r="S152" i="42"/>
  <c r="V152" i="42"/>
  <c r="S153" i="42"/>
  <c r="V153" i="42"/>
  <c r="S154" i="42"/>
  <c r="V154" i="42" s="1"/>
  <c r="S155" i="42"/>
  <c r="V155" i="42" s="1"/>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H134" i="22" l="1"/>
  <c r="G134" i="22"/>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J152" i="22"/>
  <c r="J159" i="22"/>
  <c r="J161" i="22"/>
  <c r="J155" i="22"/>
  <c r="J153" i="22"/>
  <c r="J154" i="22"/>
  <c r="J151" i="22"/>
  <c r="J158" i="22"/>
  <c r="J162" i="22"/>
  <c r="J156" i="22"/>
  <c r="J160" i="22"/>
  <c r="J157" i="22"/>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P164" i="42"/>
  <c r="Q164" i="42" s="1"/>
  <c r="P156" i="42"/>
  <c r="Q156" i="42" s="1"/>
  <c r="R156" i="42" s="1"/>
  <c r="W156" i="42" s="1"/>
  <c r="P144" i="42"/>
  <c r="Q144" i="42" s="1"/>
  <c r="T144" i="42" s="1"/>
  <c r="U144" i="42" s="1"/>
  <c r="P136" i="42"/>
  <c r="Q136" i="42" s="1"/>
  <c r="R136" i="42" s="1"/>
  <c r="W136" i="42" s="1"/>
  <c r="P128" i="42"/>
  <c r="Q128" i="42" s="1"/>
  <c r="T128" i="42" s="1"/>
  <c r="U128" i="42" s="1"/>
  <c r="P120" i="42"/>
  <c r="Q120" i="42" s="1"/>
  <c r="R120" i="42" s="1"/>
  <c r="W120" i="42" s="1"/>
  <c r="P108" i="42"/>
  <c r="Q108" i="42" s="1"/>
  <c r="R108" i="42" s="1"/>
  <c r="W108" i="42" s="1"/>
  <c r="P92" i="42"/>
  <c r="Q92" i="42" s="1"/>
  <c r="R92" i="42" s="1"/>
  <c r="W92" i="42" s="1"/>
  <c r="P84" i="42"/>
  <c r="Q84" i="42" s="1"/>
  <c r="P72" i="42"/>
  <c r="Q72" i="42" s="1"/>
  <c r="R72" i="42" s="1"/>
  <c r="W72" i="42" s="1"/>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P163" i="42"/>
  <c r="Q163" i="42" s="1"/>
  <c r="R163" i="42" s="1"/>
  <c r="W163" i="42" s="1"/>
  <c r="P159" i="42"/>
  <c r="Q159" i="42" s="1"/>
  <c r="R159" i="42" s="1"/>
  <c r="W159" i="42" s="1"/>
  <c r="P155" i="42"/>
  <c r="Q155" i="42" s="1"/>
  <c r="P151" i="42"/>
  <c r="Q151" i="42" s="1"/>
  <c r="R151" i="42" s="1"/>
  <c r="W151" i="42" s="1"/>
  <c r="P147" i="42"/>
  <c r="Q147" i="42" s="1"/>
  <c r="P143" i="42"/>
  <c r="Q143" i="42" s="1"/>
  <c r="P139" i="42"/>
  <c r="Q139" i="42" s="1"/>
  <c r="P135" i="42"/>
  <c r="Q135" i="42" s="1"/>
  <c r="R135" i="42" s="1"/>
  <c r="W135" i="42" s="1"/>
  <c r="P131" i="42"/>
  <c r="Q131" i="42" s="1"/>
  <c r="R131" i="42" s="1"/>
  <c r="W131" i="42" s="1"/>
  <c r="P127" i="42"/>
  <c r="Q127" i="42" s="1"/>
  <c r="R127" i="42" s="1"/>
  <c r="W127" i="42" s="1"/>
  <c r="P123" i="42"/>
  <c r="Q123" i="42" s="1"/>
  <c r="P119" i="42"/>
  <c r="Q119" i="42" s="1"/>
  <c r="R119" i="42" s="1"/>
  <c r="W119" i="42" s="1"/>
  <c r="P115" i="42"/>
  <c r="Q115" i="42" s="1"/>
  <c r="P111" i="42"/>
  <c r="Q111" i="42" s="1"/>
  <c r="P107" i="42"/>
  <c r="Q107" i="42" s="1"/>
  <c r="T107" i="42" s="1"/>
  <c r="U107" i="42" s="1"/>
  <c r="P103" i="42"/>
  <c r="Q103" i="42" s="1"/>
  <c r="R103" i="42" s="1"/>
  <c r="W103" i="42" s="1"/>
  <c r="P99" i="42"/>
  <c r="Q99" i="42" s="1"/>
  <c r="R99" i="42" s="1"/>
  <c r="W99" i="42" s="1"/>
  <c r="P95" i="42"/>
  <c r="Q95" i="42" s="1"/>
  <c r="R95" i="42" s="1"/>
  <c r="W95" i="42" s="1"/>
  <c r="P91" i="42"/>
  <c r="Q91" i="42" s="1"/>
  <c r="P87" i="42"/>
  <c r="Q87" i="42" s="1"/>
  <c r="R87" i="42" s="1"/>
  <c r="W87" i="42" s="1"/>
  <c r="P83" i="42"/>
  <c r="Q83" i="42" s="1"/>
  <c r="P79" i="42"/>
  <c r="Q79" i="42" s="1"/>
  <c r="P75" i="42"/>
  <c r="Q75" i="42" s="1"/>
  <c r="P71" i="42"/>
  <c r="Q71" i="42" s="1"/>
  <c r="R71" i="42" s="1"/>
  <c r="W71" i="42" s="1"/>
  <c r="P67" i="42"/>
  <c r="Q67" i="42" s="1"/>
  <c r="R67" i="42" s="1"/>
  <c r="W67" i="42" s="1"/>
  <c r="P63" i="42"/>
  <c r="Q63" i="42" s="1"/>
  <c r="R63" i="42" s="1"/>
  <c r="W63" i="42" s="1"/>
  <c r="P59" i="42"/>
  <c r="Q59" i="42" s="1"/>
  <c r="P55" i="42"/>
  <c r="Q55" i="42" s="1"/>
  <c r="R55" i="42" s="1"/>
  <c r="W55" i="42" s="1"/>
  <c r="P51" i="42"/>
  <c r="Q51" i="42" s="1"/>
  <c r="R51" i="42" s="1"/>
  <c r="W51" i="42" s="1"/>
  <c r="P47" i="42"/>
  <c r="Q47" i="42" s="1"/>
  <c r="P43" i="42"/>
  <c r="Q43" i="42" s="1"/>
  <c r="T43" i="42" s="1"/>
  <c r="U43" i="42" s="1"/>
  <c r="P39" i="42"/>
  <c r="Q39" i="42" s="1"/>
  <c r="R39" i="42" s="1"/>
  <c r="W39" i="42" s="1"/>
  <c r="P35" i="42"/>
  <c r="Q35" i="42" s="1"/>
  <c r="R35" i="42" s="1"/>
  <c r="W35" i="42" s="1"/>
  <c r="P31" i="42"/>
  <c r="Q31" i="42" s="1"/>
  <c r="P27" i="42"/>
  <c r="Q27" i="42" s="1"/>
  <c r="R27" i="42" s="1"/>
  <c r="W27" i="42" s="1"/>
  <c r="P23" i="42"/>
  <c r="Q23" i="42" s="1"/>
  <c r="Q248" i="42"/>
  <c r="U248" i="42" s="1"/>
  <c r="P248" i="42"/>
  <c r="Q224" i="42"/>
  <c r="P224" i="42"/>
  <c r="Q208" i="42"/>
  <c r="P208" i="42"/>
  <c r="Q188" i="42"/>
  <c r="U188" i="42" s="1"/>
  <c r="P188" i="42"/>
  <c r="Q168" i="42"/>
  <c r="U168" i="42" s="1"/>
  <c r="P168" i="42"/>
  <c r="P152" i="42"/>
  <c r="Q152" i="42" s="1"/>
  <c r="R152" i="42" s="1"/>
  <c r="W152" i="42" s="1"/>
  <c r="P132" i="42"/>
  <c r="Q132" i="42" s="1"/>
  <c r="P112" i="42"/>
  <c r="Q112" i="42" s="1"/>
  <c r="R112" i="42" s="1"/>
  <c r="W112" i="42" s="1"/>
  <c r="P100" i="42"/>
  <c r="Q100" i="42" s="1"/>
  <c r="R100" i="42" s="1"/>
  <c r="W100" i="42" s="1"/>
  <c r="P80" i="42"/>
  <c r="Q80" i="42" s="1"/>
  <c r="R80" i="42" s="1"/>
  <c r="W80" i="42" s="1"/>
  <c r="P64" i="42"/>
  <c r="Q64" i="42" s="1"/>
  <c r="T64" i="42" s="1"/>
  <c r="U64" i="42" s="1"/>
  <c r="P52" i="42"/>
  <c r="Q52" i="42" s="1"/>
  <c r="R52" i="42" s="1"/>
  <c r="W52" i="42" s="1"/>
  <c r="P40" i="42"/>
  <c r="Q40" i="42" s="1"/>
  <c r="R40" i="42" s="1"/>
  <c r="W40" i="42" s="1"/>
  <c r="P24" i="42"/>
  <c r="Q24" i="42" s="1"/>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P162" i="42"/>
  <c r="Q162" i="42" s="1"/>
  <c r="T162" i="42" s="1"/>
  <c r="U162" i="42" s="1"/>
  <c r="P150" i="42"/>
  <c r="Q150" i="42" s="1"/>
  <c r="P138" i="42"/>
  <c r="Q138" i="42" s="1"/>
  <c r="P130" i="42"/>
  <c r="Q130" i="42" s="1"/>
  <c r="R130" i="42" s="1"/>
  <c r="W130" i="42" s="1"/>
  <c r="P118" i="42"/>
  <c r="Q118" i="42" s="1"/>
  <c r="P106" i="42"/>
  <c r="Q106" i="42" s="1"/>
  <c r="R106" i="42" s="1"/>
  <c r="W106" i="42" s="1"/>
  <c r="P94" i="42"/>
  <c r="Q94" i="42" s="1"/>
  <c r="R94" i="42" s="1"/>
  <c r="W94" i="42" s="1"/>
  <c r="P86" i="42"/>
  <c r="Q86" i="42" s="1"/>
  <c r="P74" i="42"/>
  <c r="Q74" i="42" s="1"/>
  <c r="P58" i="42"/>
  <c r="Q58" i="42" s="1"/>
  <c r="R58" i="42" s="1"/>
  <c r="W58" i="42" s="1"/>
  <c r="P22" i="42"/>
  <c r="Q22" i="42" s="1"/>
  <c r="Q256" i="42"/>
  <c r="P256" i="42"/>
  <c r="Q244" i="42"/>
  <c r="P244" i="42"/>
  <c r="Q236" i="42"/>
  <c r="P236" i="42"/>
  <c r="Q228" i="42"/>
  <c r="U228" i="42" s="1"/>
  <c r="P228" i="42"/>
  <c r="Q216" i="42"/>
  <c r="U216" i="42" s="1"/>
  <c r="P216" i="42"/>
  <c r="Q204" i="42"/>
  <c r="P204" i="42"/>
  <c r="Q192" i="42"/>
  <c r="P192" i="42"/>
  <c r="Q180" i="42"/>
  <c r="U180" i="42" s="1"/>
  <c r="P180" i="42"/>
  <c r="Q172" i="42"/>
  <c r="P172" i="42"/>
  <c r="P160" i="42"/>
  <c r="Q160" i="42" s="1"/>
  <c r="P148" i="42"/>
  <c r="Q148" i="42" s="1"/>
  <c r="R148" i="42" s="1"/>
  <c r="W148" i="42" s="1"/>
  <c r="P140" i="42"/>
  <c r="Q140" i="42" s="1"/>
  <c r="P124" i="42"/>
  <c r="Q124" i="42" s="1"/>
  <c r="R124" i="42" s="1"/>
  <c r="W124" i="42" s="1"/>
  <c r="P116" i="42"/>
  <c r="Q116" i="42" s="1"/>
  <c r="P104" i="42"/>
  <c r="Q104" i="42" s="1"/>
  <c r="R104" i="42" s="1"/>
  <c r="W104" i="42" s="1"/>
  <c r="P96" i="42"/>
  <c r="Q96" i="42" s="1"/>
  <c r="R96" i="42" s="1"/>
  <c r="W96" i="42" s="1"/>
  <c r="P88" i="42"/>
  <c r="Q88" i="42" s="1"/>
  <c r="R88" i="42" s="1"/>
  <c r="W88" i="42" s="1"/>
  <c r="P76" i="42"/>
  <c r="Q76" i="42" s="1"/>
  <c r="P68" i="42"/>
  <c r="Q68" i="42" s="1"/>
  <c r="R68" i="42" s="1"/>
  <c r="W68" i="42" s="1"/>
  <c r="P60" i="42"/>
  <c r="Q60" i="42" s="1"/>
  <c r="R60" i="42" s="1"/>
  <c r="W60" i="42" s="1"/>
  <c r="P56" i="42"/>
  <c r="Q56" i="42" s="1"/>
  <c r="R56" i="42" s="1"/>
  <c r="W56" i="42" s="1"/>
  <c r="P48" i="42"/>
  <c r="Q48" i="42" s="1"/>
  <c r="P44" i="42"/>
  <c r="Q44" i="42" s="1"/>
  <c r="T44" i="42" s="1"/>
  <c r="U44" i="42" s="1"/>
  <c r="P36" i="42"/>
  <c r="Q36" i="42" s="1"/>
  <c r="R36" i="42" s="1"/>
  <c r="W36" i="42" s="1"/>
  <c r="P32" i="42"/>
  <c r="Q32" i="42" s="1"/>
  <c r="P28" i="42"/>
  <c r="Q28" i="42" s="1"/>
  <c r="R28" i="42" s="1"/>
  <c r="W28" i="42" s="1"/>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P158" i="42"/>
  <c r="Q158" i="42" s="1"/>
  <c r="R158" i="42" s="1"/>
  <c r="W158" i="42" s="1"/>
  <c r="P154" i="42"/>
  <c r="Q154" i="42" s="1"/>
  <c r="R154" i="42" s="1"/>
  <c r="W154" i="42" s="1"/>
  <c r="P146" i="42"/>
  <c r="Q146" i="42" s="1"/>
  <c r="T146" i="42" s="1"/>
  <c r="U146" i="42" s="1"/>
  <c r="P142" i="42"/>
  <c r="Q142" i="42" s="1"/>
  <c r="P134" i="42"/>
  <c r="Q134" i="42" s="1"/>
  <c r="R134" i="42" s="1"/>
  <c r="W134" i="42" s="1"/>
  <c r="P126" i="42"/>
  <c r="Q126" i="42" s="1"/>
  <c r="R126" i="42" s="1"/>
  <c r="W126" i="42" s="1"/>
  <c r="P122" i="42"/>
  <c r="Q122" i="42" s="1"/>
  <c r="R122" i="42" s="1"/>
  <c r="W122" i="42" s="1"/>
  <c r="P114" i="42"/>
  <c r="Q114" i="42" s="1"/>
  <c r="P110" i="42"/>
  <c r="Q110" i="42" s="1"/>
  <c r="R110" i="42" s="1"/>
  <c r="W110" i="42" s="1"/>
  <c r="P102" i="42"/>
  <c r="Q102" i="42" s="1"/>
  <c r="R102" i="42" s="1"/>
  <c r="W102" i="42" s="1"/>
  <c r="P98" i="42"/>
  <c r="Q98" i="42" s="1"/>
  <c r="R98" i="42" s="1"/>
  <c r="W98" i="42" s="1"/>
  <c r="P90" i="42"/>
  <c r="Q90" i="42" s="1"/>
  <c r="T90" i="42" s="1"/>
  <c r="U90" i="42" s="1"/>
  <c r="P82" i="42"/>
  <c r="Q82" i="42" s="1"/>
  <c r="P78" i="42"/>
  <c r="Q78" i="42" s="1"/>
  <c r="T78" i="42" s="1"/>
  <c r="U78" i="42" s="1"/>
  <c r="P70" i="42"/>
  <c r="Q70" i="42" s="1"/>
  <c r="R70" i="42" s="1"/>
  <c r="W70" i="42" s="1"/>
  <c r="P66" i="42"/>
  <c r="Q66" i="42" s="1"/>
  <c r="P62" i="42"/>
  <c r="Q62" i="42" s="1"/>
  <c r="R62" i="42" s="1"/>
  <c r="W62" i="42" s="1"/>
  <c r="P54" i="42"/>
  <c r="Q54" i="42" s="1"/>
  <c r="R54" i="42" s="1"/>
  <c r="W54" i="42" s="1"/>
  <c r="P50" i="42"/>
  <c r="Q50" i="42" s="1"/>
  <c r="P46" i="42"/>
  <c r="Q46" i="42" s="1"/>
  <c r="P42" i="42"/>
  <c r="Q42" i="42" s="1"/>
  <c r="R42" i="42" s="1"/>
  <c r="W42" i="42" s="1"/>
  <c r="P38" i="42"/>
  <c r="Q38" i="42" s="1"/>
  <c r="R38" i="42" s="1"/>
  <c r="W38" i="42" s="1"/>
  <c r="P34" i="42"/>
  <c r="Q34" i="42" s="1"/>
  <c r="R34" i="42" s="1"/>
  <c r="W34" i="42" s="1"/>
  <c r="P30" i="42"/>
  <c r="Q30" i="42" s="1"/>
  <c r="R30" i="42" s="1"/>
  <c r="W30" i="42" s="1"/>
  <c r="P26" i="42"/>
  <c r="Q26" i="42" s="1"/>
  <c r="R26" i="42" s="1"/>
  <c r="W26" i="42" s="1"/>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P161" i="42"/>
  <c r="Q161" i="42" s="1"/>
  <c r="R161" i="42" s="1"/>
  <c r="W161" i="42" s="1"/>
  <c r="P157" i="42"/>
  <c r="Q157" i="42" s="1"/>
  <c r="R157" i="42" s="1"/>
  <c r="W157" i="42" s="1"/>
  <c r="P153" i="42"/>
  <c r="Q153" i="42" s="1"/>
  <c r="R153" i="42" s="1"/>
  <c r="W153" i="42" s="1"/>
  <c r="P149" i="42"/>
  <c r="Q149" i="42" s="1"/>
  <c r="P145" i="42"/>
  <c r="Q145" i="42" s="1"/>
  <c r="R145" i="42" s="1"/>
  <c r="W145" i="42" s="1"/>
  <c r="P141" i="42"/>
  <c r="Q141" i="42" s="1"/>
  <c r="R141" i="42" s="1"/>
  <c r="W141" i="42" s="1"/>
  <c r="P137" i="42"/>
  <c r="Q137" i="42" s="1"/>
  <c r="P133" i="42"/>
  <c r="Q133" i="42" s="1"/>
  <c r="R133" i="42" s="1"/>
  <c r="W133" i="42" s="1"/>
  <c r="P129" i="42"/>
  <c r="Q129" i="42" s="1"/>
  <c r="R129" i="42" s="1"/>
  <c r="W129" i="42" s="1"/>
  <c r="P125" i="42"/>
  <c r="Q125" i="42" s="1"/>
  <c r="R125" i="42" s="1"/>
  <c r="W125" i="42" s="1"/>
  <c r="P121" i="42"/>
  <c r="Q121" i="42" s="1"/>
  <c r="R121" i="42" s="1"/>
  <c r="W121" i="42" s="1"/>
  <c r="P117" i="42"/>
  <c r="Q117" i="42" s="1"/>
  <c r="R117" i="42" s="1"/>
  <c r="W117" i="42" s="1"/>
  <c r="P113" i="42"/>
  <c r="Q113" i="42" s="1"/>
  <c r="P109" i="42"/>
  <c r="Q109" i="42" s="1"/>
  <c r="R109" i="42" s="1"/>
  <c r="W109" i="42" s="1"/>
  <c r="P105" i="42"/>
  <c r="Q105" i="42" s="1"/>
  <c r="P101" i="42"/>
  <c r="Q101" i="42" s="1"/>
  <c r="R101" i="42" s="1"/>
  <c r="W101" i="42" s="1"/>
  <c r="P97" i="42"/>
  <c r="Q97" i="42" s="1"/>
  <c r="R97" i="42" s="1"/>
  <c r="W97" i="42" s="1"/>
  <c r="P93" i="42"/>
  <c r="Q93" i="42" s="1"/>
  <c r="R93" i="42" s="1"/>
  <c r="W93" i="42" s="1"/>
  <c r="P89" i="42"/>
  <c r="Q89" i="42" s="1"/>
  <c r="T89" i="42" s="1"/>
  <c r="U89" i="42" s="1"/>
  <c r="P85" i="42"/>
  <c r="Q85" i="42" s="1"/>
  <c r="R85" i="42" s="1"/>
  <c r="W85" i="42" s="1"/>
  <c r="P81" i="42"/>
  <c r="Q81" i="42" s="1"/>
  <c r="R81" i="42" s="1"/>
  <c r="W81" i="42" s="1"/>
  <c r="P77" i="42"/>
  <c r="Q77" i="42" s="1"/>
  <c r="R77" i="42" s="1"/>
  <c r="W77" i="42" s="1"/>
  <c r="P73" i="42"/>
  <c r="Q73" i="42" s="1"/>
  <c r="P69" i="42"/>
  <c r="Q69" i="42" s="1"/>
  <c r="R69" i="42" s="1"/>
  <c r="W69" i="42" s="1"/>
  <c r="P65" i="42"/>
  <c r="Q65" i="42" s="1"/>
  <c r="R65" i="42" s="1"/>
  <c r="W65" i="42" s="1"/>
  <c r="P61" i="42"/>
  <c r="Q61" i="42" s="1"/>
  <c r="R61" i="42" s="1"/>
  <c r="W61" i="42" s="1"/>
  <c r="P57" i="42"/>
  <c r="Q57" i="42" s="1"/>
  <c r="P53" i="42"/>
  <c r="Q53" i="42" s="1"/>
  <c r="R53" i="42" s="1"/>
  <c r="W53" i="42" s="1"/>
  <c r="P49" i="42"/>
  <c r="Q49" i="42" s="1"/>
  <c r="R49" i="42" s="1"/>
  <c r="W49" i="42" s="1"/>
  <c r="P45" i="42"/>
  <c r="Q45" i="42" s="1"/>
  <c r="R45" i="42" s="1"/>
  <c r="W45" i="42" s="1"/>
  <c r="P41" i="42"/>
  <c r="Q41" i="42" s="1"/>
  <c r="R41" i="42" s="1"/>
  <c r="W41" i="42" s="1"/>
  <c r="P37" i="42"/>
  <c r="Q37" i="42" s="1"/>
  <c r="R37" i="42" s="1"/>
  <c r="W37" i="42" s="1"/>
  <c r="P33" i="42"/>
  <c r="Q33" i="42" s="1"/>
  <c r="R33" i="42" s="1"/>
  <c r="W33" i="42" s="1"/>
  <c r="P29" i="42"/>
  <c r="Q29" i="42" s="1"/>
  <c r="P25" i="42"/>
  <c r="Q25" i="42" s="1"/>
  <c r="R25" i="42" s="1"/>
  <c r="W25" i="42" s="1"/>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64" i="42"/>
  <c r="W6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15" i="42"/>
  <c r="W115" i="42" s="1"/>
  <c r="R43" i="42"/>
  <c r="W4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F24" i="36"/>
  <c r="U256" i="42"/>
  <c r="U240" i="42"/>
  <c r="U224" i="42"/>
  <c r="U208" i="42"/>
  <c r="U200" i="42"/>
  <c r="U192" i="42"/>
  <c r="U239" i="42"/>
  <c r="U207" i="42"/>
  <c r="U175" i="42"/>
  <c r="U221" i="42"/>
  <c r="U246" i="42"/>
  <c r="U214" i="42"/>
  <c r="U206" i="42"/>
  <c r="U190" i="42"/>
  <c r="U182" i="42"/>
  <c r="U166" i="42"/>
  <c r="U245" i="42"/>
  <c r="Q13" i="42"/>
  <c r="R13" i="42" s="1"/>
  <c r="W13" i="42" s="1"/>
  <c r="U244" i="42"/>
  <c r="U236" i="42"/>
  <c r="U204" i="42"/>
  <c r="U172" i="42"/>
  <c r="U251" i="42"/>
  <c r="U235" i="42"/>
  <c r="U219" i="42"/>
  <c r="U211" i="42"/>
  <c r="U203" i="42"/>
  <c r="U187" i="42"/>
  <c r="U171" i="42"/>
  <c r="Q19" i="42"/>
  <c r="R19" i="42" s="1"/>
  <c r="W19" i="42" s="1"/>
  <c r="U189" i="42"/>
  <c r="U250" i="42"/>
  <c r="U258" i="42"/>
  <c r="U242" i="42"/>
  <c r="U249" i="42"/>
  <c r="U233" i="42"/>
  <c r="U217" i="42"/>
  <c r="U209" i="42"/>
  <c r="U201" i="42"/>
  <c r="U169" i="42"/>
  <c r="V12" i="42"/>
  <c r="N238" i="52"/>
  <c r="N154" i="52"/>
  <c r="N174" i="52"/>
  <c r="N90" i="52"/>
  <c r="K101" i="36"/>
  <c r="N110" i="52"/>
  <c r="N26" i="52"/>
  <c r="N218" i="52"/>
  <c r="N46" i="52"/>
  <c r="N100" i="52"/>
  <c r="N214" i="52"/>
  <c r="N204" i="52"/>
  <c r="U204" i="52" s="1"/>
  <c r="N194" i="52"/>
  <c r="U194" i="52" s="1"/>
  <c r="N150" i="52"/>
  <c r="U150" i="52" s="1"/>
  <c r="N140" i="52"/>
  <c r="N130" i="52"/>
  <c r="N228" i="52"/>
  <c r="U228" i="52" s="1"/>
  <c r="N164" i="52"/>
  <c r="U164" i="52" s="1"/>
  <c r="N36" i="52"/>
  <c r="U36" i="52" s="1"/>
  <c r="N208" i="52"/>
  <c r="N144" i="52"/>
  <c r="N80" i="52"/>
  <c r="N250" i="52"/>
  <c r="U250" i="52" s="1"/>
  <c r="N240" i="52"/>
  <c r="N206" i="52"/>
  <c r="N196" i="52"/>
  <c r="N186" i="52"/>
  <c r="N176" i="52"/>
  <c r="N142" i="52"/>
  <c r="N132" i="52"/>
  <c r="N122" i="52"/>
  <c r="U122" i="52" s="1"/>
  <c r="N112" i="52"/>
  <c r="N78" i="52"/>
  <c r="U78" i="52" s="1"/>
  <c r="N68" i="52"/>
  <c r="U68" i="52" s="1"/>
  <c r="N58" i="52"/>
  <c r="N48" i="52"/>
  <c r="U48" i="52" s="1"/>
  <c r="N236" i="52"/>
  <c r="N226" i="52"/>
  <c r="N10" i="52"/>
  <c r="I150" i="22"/>
  <c r="K109" i="36"/>
  <c r="K107" i="36"/>
  <c r="K105" i="36"/>
  <c r="K103" i="36"/>
  <c r="N16" i="52"/>
  <c r="F21" i="36"/>
  <c r="N216" i="52"/>
  <c r="N184" i="52"/>
  <c r="N152" i="52"/>
  <c r="N120" i="52"/>
  <c r="N88" i="52"/>
  <c r="N66" i="52"/>
  <c r="N56" i="52"/>
  <c r="N24" i="52"/>
  <c r="N224" i="52"/>
  <c r="U224" i="52" s="1"/>
  <c r="N192" i="52"/>
  <c r="U192" i="52" s="1"/>
  <c r="N160" i="52"/>
  <c r="N128" i="52"/>
  <c r="U128" i="52" s="1"/>
  <c r="N96" i="52"/>
  <c r="N64" i="52"/>
  <c r="U64" i="52" s="1"/>
  <c r="N42" i="52"/>
  <c r="N32" i="52"/>
  <c r="U32" i="52" s="1"/>
  <c r="N248" i="52"/>
  <c r="U248" i="52" s="1"/>
  <c r="N256" i="52"/>
  <c r="U256" i="52" s="1"/>
  <c r="N232" i="52"/>
  <c r="N200" i="52"/>
  <c r="N168" i="52"/>
  <c r="N136" i="52"/>
  <c r="N104" i="52"/>
  <c r="N72" i="52"/>
  <c r="N40" i="52"/>
  <c r="N86" i="52"/>
  <c r="N76" i="52"/>
  <c r="N22" i="52"/>
  <c r="N254" i="52"/>
  <c r="U254" i="52" s="1"/>
  <c r="N244" i="52"/>
  <c r="N234" i="52"/>
  <c r="N190" i="52"/>
  <c r="U190" i="52" s="1"/>
  <c r="N180" i="52"/>
  <c r="U180" i="52" s="1"/>
  <c r="N170" i="52"/>
  <c r="U170" i="52" s="1"/>
  <c r="N126" i="52"/>
  <c r="N116" i="52"/>
  <c r="N106" i="52"/>
  <c r="U106" i="52" s="1"/>
  <c r="N62" i="52"/>
  <c r="U62" i="52" s="1"/>
  <c r="N52" i="52"/>
  <c r="U52" i="52" s="1"/>
  <c r="N246" i="52"/>
  <c r="N182" i="52"/>
  <c r="N172" i="52"/>
  <c r="N162" i="52"/>
  <c r="N118" i="52"/>
  <c r="N108" i="52"/>
  <c r="N98" i="52"/>
  <c r="N54" i="52"/>
  <c r="N44" i="52"/>
  <c r="N34" i="52"/>
  <c r="N252" i="52"/>
  <c r="U252" i="52" s="1"/>
  <c r="N242" i="52"/>
  <c r="N198" i="52"/>
  <c r="N188" i="52"/>
  <c r="U188" i="52" s="1"/>
  <c r="N178" i="52"/>
  <c r="U178" i="52" s="1"/>
  <c r="N134" i="52"/>
  <c r="U134" i="52" s="1"/>
  <c r="N124" i="52"/>
  <c r="U124" i="52" s="1"/>
  <c r="N114" i="52"/>
  <c r="N70" i="52"/>
  <c r="N60" i="52"/>
  <c r="U60" i="52" s="1"/>
  <c r="N50" i="52"/>
  <c r="N230" i="52"/>
  <c r="U230" i="52" s="1"/>
  <c r="N220" i="52"/>
  <c r="N210" i="52"/>
  <c r="N166" i="52"/>
  <c r="N156" i="52"/>
  <c r="N146" i="52"/>
  <c r="N102" i="52"/>
  <c r="N92" i="52"/>
  <c r="N82" i="52"/>
  <c r="N38" i="52"/>
  <c r="N28" i="52"/>
  <c r="N18" i="52"/>
  <c r="N222" i="52"/>
  <c r="U222" i="52" s="1"/>
  <c r="N212" i="52"/>
  <c r="U212" i="52" s="1"/>
  <c r="N202" i="52"/>
  <c r="N158" i="52"/>
  <c r="U158" i="52" s="1"/>
  <c r="N148" i="52"/>
  <c r="N138" i="52"/>
  <c r="U138" i="52" s="1"/>
  <c r="N94" i="52"/>
  <c r="N84" i="52"/>
  <c r="N74" i="52"/>
  <c r="N30" i="52"/>
  <c r="U30" i="52" s="1"/>
  <c r="N20" i="52"/>
  <c r="U20" i="52" s="1"/>
  <c r="F27" i="36"/>
  <c r="N12" i="52"/>
  <c r="N11" i="52"/>
  <c r="N14" i="52"/>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N243" i="52"/>
  <c r="N239" i="52"/>
  <c r="N235" i="52"/>
  <c r="N231" i="52"/>
  <c r="N227" i="52"/>
  <c r="N223" i="52"/>
  <c r="N219" i="52"/>
  <c r="N215" i="52"/>
  <c r="N211" i="52"/>
  <c r="N207" i="52"/>
  <c r="N203" i="52"/>
  <c r="N199" i="52"/>
  <c r="N195" i="52"/>
  <c r="N191" i="52"/>
  <c r="N187" i="52"/>
  <c r="N183" i="52"/>
  <c r="N179" i="52"/>
  <c r="N175" i="52"/>
  <c r="N171" i="52"/>
  <c r="N167" i="52"/>
  <c r="N163" i="52"/>
  <c r="N159" i="52"/>
  <c r="N155" i="52"/>
  <c r="N151" i="52"/>
  <c r="N147" i="52"/>
  <c r="N143" i="52"/>
  <c r="N139" i="52"/>
  <c r="N135" i="52"/>
  <c r="N131" i="52"/>
  <c r="N127" i="52"/>
  <c r="N123" i="52"/>
  <c r="N119" i="52"/>
  <c r="N115" i="52"/>
  <c r="N111" i="52"/>
  <c r="N107" i="52"/>
  <c r="N103" i="52"/>
  <c r="N99" i="52"/>
  <c r="N95" i="52"/>
  <c r="N91" i="52"/>
  <c r="N87" i="52"/>
  <c r="N83" i="52"/>
  <c r="N79" i="52"/>
  <c r="N75" i="52"/>
  <c r="N71" i="52"/>
  <c r="N67" i="52"/>
  <c r="N63" i="52"/>
  <c r="N59" i="52"/>
  <c r="N55" i="52"/>
  <c r="N51" i="52"/>
  <c r="N47" i="52"/>
  <c r="N43" i="52"/>
  <c r="N39" i="52"/>
  <c r="N35" i="52"/>
  <c r="N31" i="52"/>
  <c r="N27" i="52"/>
  <c r="N23" i="52"/>
  <c r="N19" i="52"/>
  <c r="N15" i="52"/>
  <c r="N257" i="52"/>
  <c r="U257" i="52" s="1"/>
  <c r="N253" i="52"/>
  <c r="U253" i="52" s="1"/>
  <c r="N249" i="52"/>
  <c r="N245" i="52"/>
  <c r="N241" i="52"/>
  <c r="N237" i="52"/>
  <c r="N233" i="52"/>
  <c r="N229" i="52"/>
  <c r="N225" i="52"/>
  <c r="N221" i="52"/>
  <c r="N217" i="52"/>
  <c r="N213" i="52"/>
  <c r="N209" i="52"/>
  <c r="N205" i="52"/>
  <c r="N201" i="52"/>
  <c r="N197" i="52"/>
  <c r="N193" i="52"/>
  <c r="N189" i="52"/>
  <c r="N185" i="52"/>
  <c r="N181" i="52"/>
  <c r="N177" i="52"/>
  <c r="N173" i="52"/>
  <c r="N169" i="52"/>
  <c r="N165" i="52"/>
  <c r="N161" i="52"/>
  <c r="N157" i="52"/>
  <c r="N153" i="52"/>
  <c r="N149" i="52"/>
  <c r="N145" i="52"/>
  <c r="N141" i="52"/>
  <c r="N137" i="52"/>
  <c r="N133" i="52"/>
  <c r="N129" i="52"/>
  <c r="N125" i="52"/>
  <c r="N121" i="52"/>
  <c r="N117" i="52"/>
  <c r="N113" i="52"/>
  <c r="N109" i="52"/>
  <c r="N105" i="52"/>
  <c r="N101" i="52"/>
  <c r="N97" i="52"/>
  <c r="N93" i="52"/>
  <c r="N89" i="52"/>
  <c r="N85" i="52"/>
  <c r="N81" i="52"/>
  <c r="N77" i="52"/>
  <c r="N73" i="52"/>
  <c r="N69" i="52"/>
  <c r="N65" i="52"/>
  <c r="N61" i="52"/>
  <c r="N57" i="52"/>
  <c r="N53" i="52"/>
  <c r="N49" i="52"/>
  <c r="N45" i="52"/>
  <c r="N41" i="52"/>
  <c r="N37" i="52"/>
  <c r="N33" i="52"/>
  <c r="N29" i="52"/>
  <c r="N25" i="52"/>
  <c r="N21" i="52"/>
  <c r="N17" i="52"/>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T140" i="42" l="1"/>
  <c r="U140" i="42" s="1"/>
  <c r="R140" i="42"/>
  <c r="W140" i="42" s="1"/>
  <c r="R144" i="42"/>
  <c r="W144" i="42" s="1"/>
  <c r="T164" i="42"/>
  <c r="U164" i="42" s="1"/>
  <c r="R164" i="42"/>
  <c r="W164" i="42" s="1"/>
  <c r="T75" i="42"/>
  <c r="U75" i="42" s="1"/>
  <c r="R75" i="42"/>
  <c r="W75" i="42" s="1"/>
  <c r="T79" i="42"/>
  <c r="U79" i="42" s="1"/>
  <c r="R79" i="42"/>
  <c r="W79" i="42" s="1"/>
  <c r="T57" i="42"/>
  <c r="U57" i="42" s="1"/>
  <c r="R57" i="42"/>
  <c r="W57" i="42" s="1"/>
  <c r="T74" i="42"/>
  <c r="U74" i="42" s="1"/>
  <c r="R74" i="42"/>
  <c r="W74" i="42" s="1"/>
  <c r="T86" i="42"/>
  <c r="U86" i="42" s="1"/>
  <c r="R86" i="42"/>
  <c r="W86" i="42" s="1"/>
  <c r="T31" i="42"/>
  <c r="R31" i="42"/>
  <c r="W31" i="42" s="1"/>
  <c r="T123" i="42"/>
  <c r="U123" i="42" s="1"/>
  <c r="R123" i="42"/>
  <c r="W123" i="42" s="1"/>
  <c r="T160" i="42"/>
  <c r="U160" i="42" s="1"/>
  <c r="R160" i="42"/>
  <c r="W160" i="42" s="1"/>
  <c r="T32" i="42"/>
  <c r="U32" i="42" s="1"/>
  <c r="R32" i="42"/>
  <c r="W32" i="42" s="1"/>
  <c r="T83" i="42"/>
  <c r="U83" i="42" s="1"/>
  <c r="R83" i="42"/>
  <c r="W83" i="42" s="1"/>
  <c r="T105" i="42"/>
  <c r="U105" i="42" s="1"/>
  <c r="R105" i="42"/>
  <c r="W105" i="42" s="1"/>
  <c r="T150" i="42"/>
  <c r="U150" i="42" s="1"/>
  <c r="R150" i="42"/>
  <c r="W150" i="42" s="1"/>
  <c r="R89" i="42"/>
  <c r="W89" i="42" s="1"/>
  <c r="T111" i="42"/>
  <c r="U111" i="42" s="1"/>
  <c r="R111" i="42"/>
  <c r="W111" i="42" s="1"/>
  <c r="T46" i="42"/>
  <c r="U46" i="42" s="1"/>
  <c r="R46" i="42"/>
  <c r="W46" i="42" s="1"/>
  <c r="T84" i="42"/>
  <c r="U84" i="42" s="1"/>
  <c r="R84" i="42"/>
  <c r="W84" i="42" s="1"/>
  <c r="T137" i="42"/>
  <c r="U137" i="42" s="1"/>
  <c r="R137" i="42"/>
  <c r="W137" i="42" s="1"/>
  <c r="T50" i="42"/>
  <c r="U50" i="42" s="1"/>
  <c r="R50" i="42"/>
  <c r="W50" i="42" s="1"/>
  <c r="T76" i="42"/>
  <c r="U76" i="42" s="1"/>
  <c r="R76" i="42"/>
  <c r="W76" i="42" s="1"/>
  <c r="T47" i="42"/>
  <c r="U47" i="42" s="1"/>
  <c r="R47" i="42"/>
  <c r="W47" i="42" s="1"/>
  <c r="T139" i="42"/>
  <c r="U139" i="42" s="1"/>
  <c r="R139" i="42"/>
  <c r="W139" i="42" s="1"/>
  <c r="T143" i="42"/>
  <c r="U143" i="42" s="1"/>
  <c r="R143" i="42"/>
  <c r="W143" i="42" s="1"/>
  <c r="T147" i="42"/>
  <c r="U147" i="42" s="1"/>
  <c r="R147" i="42"/>
  <c r="W147" i="42" s="1"/>
  <c r="T29" i="42"/>
  <c r="R29" i="42"/>
  <c r="W29" i="42" s="1"/>
  <c r="T155" i="42"/>
  <c r="U155" i="42" s="1"/>
  <c r="R155" i="42"/>
  <c r="W155" i="42" s="1"/>
  <c r="T114" i="42"/>
  <c r="U114" i="42" s="1"/>
  <c r="R114" i="42"/>
  <c r="W114" i="42" s="1"/>
  <c r="T118" i="42"/>
  <c r="U118" i="42" s="1"/>
  <c r="R118" i="42"/>
  <c r="W118" i="42" s="1"/>
  <c r="T24" i="42"/>
  <c r="U24" i="42" s="1"/>
  <c r="R24" i="42"/>
  <c r="W24" i="42" s="1"/>
  <c r="R23" i="42"/>
  <c r="W23" i="42" s="1"/>
  <c r="T23" i="42"/>
  <c r="T91" i="42"/>
  <c r="U91" i="42" s="1"/>
  <c r="R91" i="42"/>
  <c r="W91" i="42" s="1"/>
  <c r="T113" i="42"/>
  <c r="U113" i="42" s="1"/>
  <c r="R113" i="42"/>
  <c r="W113" i="42" s="1"/>
  <c r="T48" i="42"/>
  <c r="U48" i="42" s="1"/>
  <c r="R48" i="42"/>
  <c r="W48" i="42" s="1"/>
  <c r="T138" i="42"/>
  <c r="U138" i="42" s="1"/>
  <c r="R138" i="42"/>
  <c r="W138" i="42" s="1"/>
  <c r="T142" i="42"/>
  <c r="U142" i="42" s="1"/>
  <c r="R142" i="42"/>
  <c r="W142" i="42" s="1"/>
  <c r="T82" i="42"/>
  <c r="U82" i="42" s="1"/>
  <c r="R82" i="42"/>
  <c r="W82" i="42" s="1"/>
  <c r="T73" i="42"/>
  <c r="U73" i="42" s="1"/>
  <c r="R73" i="42"/>
  <c r="W73" i="42" s="1"/>
  <c r="T132" i="42"/>
  <c r="U132" i="42" s="1"/>
  <c r="R132" i="42"/>
  <c r="W132" i="42" s="1"/>
  <c r="T66" i="42"/>
  <c r="U66" i="42" s="1"/>
  <c r="R66" i="42"/>
  <c r="W66" i="42" s="1"/>
  <c r="T59" i="42"/>
  <c r="U59" i="42" s="1"/>
  <c r="R59" i="42"/>
  <c r="W59" i="42" s="1"/>
  <c r="T116" i="42"/>
  <c r="U116" i="42" s="1"/>
  <c r="R116" i="42"/>
  <c r="W116" i="42" s="1"/>
  <c r="T149" i="42"/>
  <c r="U149" i="42" s="1"/>
  <c r="R149" i="42"/>
  <c r="W149" i="42" s="1"/>
  <c r="R90" i="42"/>
  <c r="W90" i="42" s="1"/>
  <c r="T22" i="42"/>
  <c r="U22" i="42" s="1"/>
  <c r="R22" i="42"/>
  <c r="W22" i="42" s="1"/>
  <c r="R146" i="42"/>
  <c r="W146" i="42" s="1"/>
  <c r="R162" i="42"/>
  <c r="W162" i="42" s="1"/>
  <c r="R78" i="42"/>
  <c r="W78" i="42" s="1"/>
  <c r="R128" i="42"/>
  <c r="W128" i="42" s="1"/>
  <c r="R107" i="42"/>
  <c r="W107" i="42" s="1"/>
  <c r="R44" i="42"/>
  <c r="W44" i="42" s="1"/>
  <c r="T109" i="42"/>
  <c r="U109" i="42" s="1"/>
  <c r="T153" i="42"/>
  <c r="U153" i="42" s="1"/>
  <c r="T106" i="42"/>
  <c r="U106" i="42" s="1"/>
  <c r="T72" i="42"/>
  <c r="U72" i="42" s="1"/>
  <c r="T69" i="42"/>
  <c r="U69" i="42" s="1"/>
  <c r="T157" i="42"/>
  <c r="U157" i="42" s="1"/>
  <c r="T122" i="42"/>
  <c r="U122" i="42" s="1"/>
  <c r="T96" i="42"/>
  <c r="U96" i="42" s="1"/>
  <c r="T135" i="42"/>
  <c r="U135" i="42" s="1"/>
  <c r="T117" i="42"/>
  <c r="U117" i="42" s="1"/>
  <c r="T161" i="42"/>
  <c r="U161" i="42" s="1"/>
  <c r="T62" i="42"/>
  <c r="U62" i="42" s="1"/>
  <c r="T126" i="42"/>
  <c r="U126" i="42" s="1"/>
  <c r="T104" i="42"/>
  <c r="U104" i="42" s="1"/>
  <c r="T130" i="42"/>
  <c r="U130" i="42" s="1"/>
  <c r="T51" i="42"/>
  <c r="U51" i="42" s="1"/>
  <c r="T95" i="42"/>
  <c r="U95" i="42" s="1"/>
  <c r="T92" i="42"/>
  <c r="U92" i="42" s="1"/>
  <c r="T77" i="42"/>
  <c r="U77" i="42" s="1"/>
  <c r="T121" i="42"/>
  <c r="U121" i="42" s="1"/>
  <c r="T134" i="42"/>
  <c r="U134" i="42" s="1"/>
  <c r="T55" i="42"/>
  <c r="U55" i="42" s="1"/>
  <c r="T99" i="42"/>
  <c r="U99" i="42" s="1"/>
  <c r="T108" i="42"/>
  <c r="U108" i="42" s="1"/>
  <c r="T81" i="42"/>
  <c r="U81" i="42" s="1"/>
  <c r="T125" i="42"/>
  <c r="U125" i="42" s="1"/>
  <c r="T70" i="42"/>
  <c r="U70" i="42" s="1"/>
  <c r="T124" i="42"/>
  <c r="U124" i="42" s="1"/>
  <c r="T40" i="42"/>
  <c r="U40" i="42" s="1"/>
  <c r="T103" i="42"/>
  <c r="U103" i="42" s="1"/>
  <c r="T120" i="42"/>
  <c r="U120" i="42" s="1"/>
  <c r="T53" i="42"/>
  <c r="U53" i="42" s="1"/>
  <c r="T97" i="42"/>
  <c r="U97" i="42" s="1"/>
  <c r="T141" i="42"/>
  <c r="U141" i="42" s="1"/>
  <c r="T38" i="42"/>
  <c r="U38" i="42" s="1"/>
  <c r="T98" i="42"/>
  <c r="U98" i="42" s="1"/>
  <c r="T60" i="42"/>
  <c r="U60" i="42" s="1"/>
  <c r="T100" i="42"/>
  <c r="U100" i="42" s="1"/>
  <c r="T119" i="42"/>
  <c r="U119" i="42" s="1"/>
  <c r="T163" i="42"/>
  <c r="U163" i="42" s="1"/>
  <c r="T156" i="42"/>
  <c r="U156" i="42" s="1"/>
  <c r="T145" i="42"/>
  <c r="U145" i="42" s="1"/>
  <c r="T42" i="42"/>
  <c r="U42" i="42" s="1"/>
  <c r="T41" i="42"/>
  <c r="U41" i="42" s="1"/>
  <c r="T129" i="42"/>
  <c r="U129" i="42" s="1"/>
  <c r="T101" i="42"/>
  <c r="U101" i="42" s="1"/>
  <c r="T102" i="42"/>
  <c r="U102" i="42" s="1"/>
  <c r="T68" i="42"/>
  <c r="U68" i="42" s="1"/>
  <c r="T112" i="42"/>
  <c r="U112" i="42" s="1"/>
  <c r="T61" i="42"/>
  <c r="U61" i="42" s="1"/>
  <c r="T110" i="42"/>
  <c r="U110" i="42" s="1"/>
  <c r="T94" i="42"/>
  <c r="U94" i="42" s="1"/>
  <c r="T39" i="42"/>
  <c r="U39" i="42" s="1"/>
  <c r="T127" i="42"/>
  <c r="U127" i="42" s="1"/>
  <c r="T65" i="42"/>
  <c r="U65" i="42" s="1"/>
  <c r="T88" i="42"/>
  <c r="U88" i="42" s="1"/>
  <c r="T152" i="42"/>
  <c r="U152" i="42" s="1"/>
  <c r="T87" i="42"/>
  <c r="U87" i="42" s="1"/>
  <c r="T131" i="42"/>
  <c r="U131" i="42" s="1"/>
  <c r="T54" i="42"/>
  <c r="U54" i="42" s="1"/>
  <c r="T85" i="42"/>
  <c r="U85" i="42" s="1"/>
  <c r="T52" i="42"/>
  <c r="U52" i="42" s="1"/>
  <c r="T63" i="42"/>
  <c r="U63" i="42" s="1"/>
  <c r="T151" i="42"/>
  <c r="U151" i="42" s="1"/>
  <c r="T45" i="42"/>
  <c r="U45" i="42" s="1"/>
  <c r="T133" i="42"/>
  <c r="U133" i="42" s="1"/>
  <c r="T154" i="42"/>
  <c r="U154" i="42" s="1"/>
  <c r="T148" i="42"/>
  <c r="U148" i="42" s="1"/>
  <c r="T67" i="42"/>
  <c r="U67" i="42" s="1"/>
  <c r="T136" i="42"/>
  <c r="U136" i="42" s="1"/>
  <c r="T49" i="42"/>
  <c r="U49" i="42" s="1"/>
  <c r="T93" i="42"/>
  <c r="U93" i="42" s="1"/>
  <c r="T158" i="42"/>
  <c r="U158" i="42" s="1"/>
  <c r="T56" i="42"/>
  <c r="U56" i="42" s="1"/>
  <c r="T58" i="42"/>
  <c r="U58" i="42" s="1"/>
  <c r="T80" i="42"/>
  <c r="U80" i="42" s="1"/>
  <c r="T71" i="42"/>
  <c r="U71" i="42" s="1"/>
  <c r="T115" i="42"/>
  <c r="U115" i="42" s="1"/>
  <c r="T159" i="42"/>
  <c r="U159" i="42" s="1"/>
  <c r="U244" i="52"/>
  <c r="U146" i="52"/>
  <c r="U118" i="52"/>
  <c r="U240" i="52"/>
  <c r="U74" i="52"/>
  <c r="U84" i="52"/>
  <c r="U70" i="52"/>
  <c r="U130" i="52"/>
  <c r="U94" i="52"/>
  <c r="U114" i="52"/>
  <c r="U126" i="52"/>
  <c r="U96" i="52"/>
  <c r="U236" i="52"/>
  <c r="U140" i="52"/>
  <c r="U34" i="52"/>
  <c r="U88" i="52"/>
  <c r="U110" i="52"/>
  <c r="U136" i="52"/>
  <c r="U162" i="52"/>
  <c r="U238" i="52"/>
  <c r="U172" i="52"/>
  <c r="U12" i="52"/>
  <c r="U58" i="52"/>
  <c r="U202" i="52"/>
  <c r="U234" i="52"/>
  <c r="U214" i="52"/>
  <c r="U198" i="52"/>
  <c r="U24" i="52"/>
  <c r="U112" i="52"/>
  <c r="U100" i="52"/>
  <c r="U242" i="52"/>
  <c r="U56" i="52"/>
  <c r="U46" i="52"/>
  <c r="U169" i="52"/>
  <c r="U18" i="52"/>
  <c r="U22" i="52"/>
  <c r="U66" i="52"/>
  <c r="U132" i="52"/>
  <c r="U218" i="52"/>
  <c r="U28" i="52"/>
  <c r="U76" i="52"/>
  <c r="U142" i="52"/>
  <c r="U26" i="52"/>
  <c r="U38" i="52"/>
  <c r="U44" i="52"/>
  <c r="U86" i="52"/>
  <c r="U176" i="52"/>
  <c r="U82" i="52"/>
  <c r="U54" i="52"/>
  <c r="U40" i="52"/>
  <c r="U152" i="52"/>
  <c r="U186" i="52"/>
  <c r="U90" i="52"/>
  <c r="U120" i="52"/>
  <c r="U92" i="52"/>
  <c r="U98" i="52"/>
  <c r="U72" i="52"/>
  <c r="U184" i="52"/>
  <c r="U196" i="52"/>
  <c r="U102" i="52"/>
  <c r="U108" i="52"/>
  <c r="U104" i="52"/>
  <c r="U216" i="52"/>
  <c r="U206" i="52"/>
  <c r="U174" i="52"/>
  <c r="U50" i="52"/>
  <c r="U42" i="52"/>
  <c r="U116" i="52"/>
  <c r="U226" i="52"/>
  <c r="U148" i="52"/>
  <c r="U160" i="52"/>
  <c r="U154" i="52"/>
  <c r="U14" i="52"/>
  <c r="U156" i="52"/>
  <c r="U168" i="52"/>
  <c r="U16" i="52"/>
  <c r="U80" i="52"/>
  <c r="U144" i="52"/>
  <c r="U166" i="52"/>
  <c r="U200" i="52"/>
  <c r="U210" i="52"/>
  <c r="U182" i="52"/>
  <c r="U232" i="52"/>
  <c r="U121" i="52"/>
  <c r="U220" i="52"/>
  <c r="U246" i="52"/>
  <c r="U208" i="52"/>
  <c r="U23" i="42"/>
  <c r="U29" i="42"/>
  <c r="U31"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U25" i="52" s="1"/>
  <c r="S57" i="52"/>
  <c r="R57" i="52"/>
  <c r="U57" i="52" s="1"/>
  <c r="S89" i="52"/>
  <c r="R89" i="52"/>
  <c r="U89" i="52" s="1"/>
  <c r="S121" i="52"/>
  <c r="R121" i="52"/>
  <c r="S153" i="52"/>
  <c r="R153" i="52"/>
  <c r="U153" i="52" s="1"/>
  <c r="S185" i="52"/>
  <c r="R185" i="52"/>
  <c r="U185" i="52" s="1"/>
  <c r="S217" i="52"/>
  <c r="R217" i="52"/>
  <c r="U217" i="52" s="1"/>
  <c r="S249" i="52"/>
  <c r="R249" i="52"/>
  <c r="U249" i="52" s="1"/>
  <c r="S35" i="52"/>
  <c r="R35" i="52"/>
  <c r="U35" i="52" s="1"/>
  <c r="S67" i="52"/>
  <c r="R67" i="52"/>
  <c r="S99" i="52"/>
  <c r="R99" i="52"/>
  <c r="S131" i="52"/>
  <c r="R131" i="52"/>
  <c r="U131" i="52" s="1"/>
  <c r="S163" i="52"/>
  <c r="R163" i="52"/>
  <c r="U163" i="52" s="1"/>
  <c r="S195" i="52"/>
  <c r="R195" i="52"/>
  <c r="U195" i="52" s="1"/>
  <c r="S227" i="52"/>
  <c r="R227" i="52"/>
  <c r="U227" i="52" s="1"/>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U165" i="52" s="1"/>
  <c r="S47" i="52"/>
  <c r="R47" i="52"/>
  <c r="U47" i="52" s="1"/>
  <c r="S29" i="52"/>
  <c r="R29" i="52"/>
  <c r="U29" i="52" s="1"/>
  <c r="S61" i="52"/>
  <c r="R61" i="52"/>
  <c r="U61" i="52" s="1"/>
  <c r="S93" i="52"/>
  <c r="R93" i="52"/>
  <c r="U93" i="52" s="1"/>
  <c r="S125" i="52"/>
  <c r="R125" i="52"/>
  <c r="U125" i="52" s="1"/>
  <c r="S157" i="52"/>
  <c r="R157" i="52"/>
  <c r="U157" i="52" s="1"/>
  <c r="S189" i="52"/>
  <c r="R189" i="52"/>
  <c r="U189" i="52" s="1"/>
  <c r="S221" i="52"/>
  <c r="R221" i="52"/>
  <c r="S253" i="52"/>
  <c r="R253" i="52"/>
  <c r="S39" i="52"/>
  <c r="R39" i="52"/>
  <c r="U39" i="52" s="1"/>
  <c r="S71" i="52"/>
  <c r="R71" i="52"/>
  <c r="U71" i="52" s="1"/>
  <c r="S103" i="52"/>
  <c r="R103" i="52"/>
  <c r="U103" i="52" s="1"/>
  <c r="S135" i="52"/>
  <c r="R135" i="52"/>
  <c r="U135" i="52" s="1"/>
  <c r="S167" i="52"/>
  <c r="R167" i="52"/>
  <c r="U167" i="52" s="1"/>
  <c r="S199" i="52"/>
  <c r="R199" i="52"/>
  <c r="U199" i="52" s="1"/>
  <c r="S231" i="52"/>
  <c r="R231" i="52"/>
  <c r="U231" i="52" s="1"/>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U97" i="52" s="1"/>
  <c r="S129" i="52"/>
  <c r="R129" i="52"/>
  <c r="U129" i="52" s="1"/>
  <c r="S161" i="52"/>
  <c r="R161" i="52"/>
  <c r="U161" i="52" s="1"/>
  <c r="S193" i="52"/>
  <c r="R193" i="52"/>
  <c r="U193" i="52" s="1"/>
  <c r="S225" i="52"/>
  <c r="R225" i="52"/>
  <c r="U225" i="52" s="1"/>
  <c r="S257" i="52"/>
  <c r="R257" i="52"/>
  <c r="S43" i="52"/>
  <c r="R43" i="52"/>
  <c r="U43" i="52" s="1"/>
  <c r="S75" i="52"/>
  <c r="R75" i="52"/>
  <c r="U75" i="52" s="1"/>
  <c r="S107" i="52"/>
  <c r="R107" i="52"/>
  <c r="U107" i="52" s="1"/>
  <c r="S139" i="52"/>
  <c r="R139" i="52"/>
  <c r="S171" i="52"/>
  <c r="R171" i="52"/>
  <c r="S203" i="52"/>
  <c r="R203" i="52"/>
  <c r="U203" i="52" s="1"/>
  <c r="S235" i="52"/>
  <c r="R235" i="52"/>
  <c r="U235" i="52" s="1"/>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U69" i="52" s="1"/>
  <c r="S197" i="52"/>
  <c r="R197" i="52"/>
  <c r="U197" i="52" s="1"/>
  <c r="S79" i="52"/>
  <c r="R79" i="52"/>
  <c r="U79" i="52" s="1"/>
  <c r="S143" i="52"/>
  <c r="R143" i="52"/>
  <c r="U143" i="52" s="1"/>
  <c r="S207" i="52"/>
  <c r="R207" i="52"/>
  <c r="U207" i="52" s="1"/>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U73" i="52" s="1"/>
  <c r="S105" i="52"/>
  <c r="R105" i="52"/>
  <c r="U105" i="52" s="1"/>
  <c r="S137" i="52"/>
  <c r="R137" i="52"/>
  <c r="U137" i="52" s="1"/>
  <c r="S169" i="52"/>
  <c r="R169" i="52"/>
  <c r="S201" i="52"/>
  <c r="R201" i="52"/>
  <c r="U201" i="52" s="1"/>
  <c r="S233" i="52"/>
  <c r="R233" i="52"/>
  <c r="U233" i="52" s="1"/>
  <c r="R19" i="52"/>
  <c r="S19" i="52"/>
  <c r="S51" i="52"/>
  <c r="R51" i="52"/>
  <c r="U51" i="52" s="1"/>
  <c r="S83" i="52"/>
  <c r="R83" i="52"/>
  <c r="U83" i="52" s="1"/>
  <c r="S115" i="52"/>
  <c r="R115" i="52"/>
  <c r="S147" i="52"/>
  <c r="R147" i="52"/>
  <c r="S179" i="52"/>
  <c r="R179" i="52"/>
  <c r="U179" i="52" s="1"/>
  <c r="S211" i="52"/>
  <c r="R211" i="52"/>
  <c r="U211" i="52" s="1"/>
  <c r="S243" i="52"/>
  <c r="R243" i="52"/>
  <c r="U243" i="52" s="1"/>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U133" i="52" s="1"/>
  <c r="S229" i="52"/>
  <c r="R229" i="52"/>
  <c r="U229" i="52" s="1"/>
  <c r="S111" i="52"/>
  <c r="R111" i="52"/>
  <c r="U111" i="52" s="1"/>
  <c r="S175" i="52"/>
  <c r="R175" i="52"/>
  <c r="U175" i="52" s="1"/>
  <c r="S239" i="52"/>
  <c r="R239" i="52"/>
  <c r="U239" i="52" s="1"/>
  <c r="R13" i="52"/>
  <c r="S13" i="52"/>
  <c r="S45" i="52"/>
  <c r="R45" i="52"/>
  <c r="U45" i="52" s="1"/>
  <c r="S77" i="52"/>
  <c r="R77" i="52"/>
  <c r="U77" i="52" s="1"/>
  <c r="S109" i="52"/>
  <c r="R109" i="52"/>
  <c r="U109" i="52" s="1"/>
  <c r="S141" i="52"/>
  <c r="R141" i="52"/>
  <c r="U141" i="52" s="1"/>
  <c r="S173" i="52"/>
  <c r="R173" i="52"/>
  <c r="S205" i="52"/>
  <c r="R205" i="52"/>
  <c r="U205" i="52" s="1"/>
  <c r="S237" i="52"/>
  <c r="R237" i="52"/>
  <c r="U237" i="52" s="1"/>
  <c r="S23" i="52"/>
  <c r="R23" i="52"/>
  <c r="U23" i="52" s="1"/>
  <c r="S55" i="52"/>
  <c r="R55" i="52"/>
  <c r="U55" i="52" s="1"/>
  <c r="S87" i="52"/>
  <c r="R87" i="52"/>
  <c r="U87" i="52" s="1"/>
  <c r="S119" i="52"/>
  <c r="R119" i="52"/>
  <c r="U119" i="52" s="1"/>
  <c r="S151" i="52"/>
  <c r="R151" i="52"/>
  <c r="U151" i="52" s="1"/>
  <c r="S183" i="52"/>
  <c r="R183" i="52"/>
  <c r="U183" i="52" s="1"/>
  <c r="S215" i="52"/>
  <c r="R215" i="52"/>
  <c r="U215" i="52" s="1"/>
  <c r="S247" i="52"/>
  <c r="R247" i="52"/>
  <c r="U247" i="52" s="1"/>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U36" i="55"/>
  <c r="V68" i="55"/>
  <c r="V100" i="55"/>
  <c r="V220" i="55"/>
  <c r="U31" i="55"/>
  <c r="V63" i="55"/>
  <c r="V130" i="55"/>
  <c r="V162" i="55"/>
  <c r="V194" i="55"/>
  <c r="U239" i="55"/>
  <c r="S101" i="52"/>
  <c r="R101" i="52"/>
  <c r="U101" i="52" s="1"/>
  <c r="S15" i="52"/>
  <c r="R15" i="52"/>
  <c r="H155" i="22" s="1"/>
  <c r="R17" i="52"/>
  <c r="S17" i="52"/>
  <c r="S49" i="52"/>
  <c r="R49" i="52"/>
  <c r="U49" i="52" s="1"/>
  <c r="S81" i="52"/>
  <c r="R81" i="52"/>
  <c r="S113" i="52"/>
  <c r="R113" i="52"/>
  <c r="U113" i="52" s="1"/>
  <c r="S145" i="52"/>
  <c r="R145" i="52"/>
  <c r="U145" i="52" s="1"/>
  <c r="S177" i="52"/>
  <c r="R177" i="52"/>
  <c r="U177" i="52" s="1"/>
  <c r="S209" i="52"/>
  <c r="R209" i="52"/>
  <c r="U209" i="52" s="1"/>
  <c r="S241" i="52"/>
  <c r="R241" i="52"/>
  <c r="U241" i="52" s="1"/>
  <c r="S27" i="52"/>
  <c r="R27" i="52"/>
  <c r="S59" i="52"/>
  <c r="R59" i="52"/>
  <c r="U59" i="52" s="1"/>
  <c r="S91" i="52"/>
  <c r="R91" i="52"/>
  <c r="U91" i="52" s="1"/>
  <c r="S123" i="52"/>
  <c r="R123" i="52"/>
  <c r="U123" i="52" s="1"/>
  <c r="S155" i="52"/>
  <c r="R155" i="52"/>
  <c r="U155" i="52" s="1"/>
  <c r="S187" i="52"/>
  <c r="R187" i="52"/>
  <c r="U187" i="52" s="1"/>
  <c r="S219" i="52"/>
  <c r="R219" i="52"/>
  <c r="U219" i="52" s="1"/>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U117" i="52" s="1"/>
  <c r="S149" i="52"/>
  <c r="R149" i="52"/>
  <c r="U149" i="52" s="1"/>
  <c r="S181" i="52"/>
  <c r="R181" i="52"/>
  <c r="U181" i="52" s="1"/>
  <c r="S213" i="52"/>
  <c r="R213" i="52"/>
  <c r="U213" i="52" s="1"/>
  <c r="S245" i="52"/>
  <c r="R245" i="52"/>
  <c r="U245" i="52" s="1"/>
  <c r="S31" i="52"/>
  <c r="R31" i="52"/>
  <c r="U31" i="52" s="1"/>
  <c r="S63" i="52"/>
  <c r="R63" i="52"/>
  <c r="U63" i="52" s="1"/>
  <c r="S95" i="52"/>
  <c r="R95" i="52"/>
  <c r="U95" i="52" s="1"/>
  <c r="S127" i="52"/>
  <c r="R127" i="52"/>
  <c r="U127" i="52" s="1"/>
  <c r="S159" i="52"/>
  <c r="R159" i="52"/>
  <c r="U159" i="52" s="1"/>
  <c r="S191" i="52"/>
  <c r="R191" i="52"/>
  <c r="S223" i="52"/>
  <c r="R223" i="52"/>
  <c r="U223" i="52" s="1"/>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C12" i="53"/>
  <c r="AM12" i="55" a="1"/>
  <c r="AM12" i="55" s="1"/>
  <c r="AM13" i="55" s="1" a="1"/>
  <c r="AM13" i="55" s="1"/>
  <c r="AJ12" i="52" a="1"/>
  <c r="AJ12" i="52" s="1"/>
  <c r="U17" i="52" l="1"/>
  <c r="U27" i="52"/>
  <c r="U173" i="52"/>
  <c r="U37" i="52"/>
  <c r="U13" i="52"/>
  <c r="U21" i="52"/>
  <c r="U19" i="52"/>
  <c r="U191" i="52"/>
  <c r="U85" i="52"/>
  <c r="U147" i="52"/>
  <c r="U41" i="52"/>
  <c r="U171" i="52"/>
  <c r="U65" i="52"/>
  <c r="U99" i="52"/>
  <c r="U53" i="52"/>
  <c r="U115" i="52"/>
  <c r="U139" i="52"/>
  <c r="U33" i="52"/>
  <c r="U221" i="52"/>
  <c r="U67" i="52"/>
  <c r="U81" i="52"/>
  <c r="U15" i="52"/>
  <c r="H154" i="22"/>
  <c r="J12" i="53"/>
  <c r="R12" i="53"/>
  <c r="AY258" i="55" a="1"/>
  <c r="AY258" i="55" s="1"/>
  <c r="U258" i="55" a="1"/>
  <c r="U258" i="55" s="1"/>
  <c r="G12" i="53"/>
  <c r="E12" i="53"/>
  <c r="H12" i="53"/>
  <c r="P12" i="53"/>
  <c r="I12" i="53"/>
  <c r="K12" i="53"/>
  <c r="D12"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U10" i="52"/>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N12" i="53" l="1"/>
  <c r="O12" i="53" s="1"/>
  <c r="X12" i="53" s="1"/>
  <c r="Q12" i="53"/>
  <c r="AK13" i="57"/>
  <c r="H9" i="73"/>
  <c r="E62" i="73" s="1"/>
  <c r="F62" i="73" s="1"/>
  <c r="F22" i="36"/>
  <c r="E13" i="53"/>
  <c r="C13" i="53"/>
  <c r="M13" i="53" s="1"/>
  <c r="F13" i="53"/>
  <c r="G13" i="53"/>
  <c r="D13" i="53"/>
  <c r="H13" i="53"/>
  <c r="J13" i="53"/>
  <c r="P13" i="53"/>
  <c r="E14" i="53"/>
  <c r="L154" i="22"/>
  <c r="L158" i="22"/>
  <c r="J150" i="22"/>
  <c r="L152" i="22"/>
  <c r="L161" i="22"/>
  <c r="O12" i="57"/>
  <c r="X12" i="57" s="1"/>
  <c r="L14" i="57"/>
  <c r="L160" i="22"/>
  <c r="L151" i="22"/>
  <c r="R13" i="57"/>
  <c r="L150" i="22"/>
  <c r="L162" i="22"/>
  <c r="F28" i="36"/>
  <c r="F25" i="36"/>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AT13" i="53" l="1"/>
  <c r="AK14" i="57"/>
  <c r="K14" i="53"/>
  <c r="P14" i="53"/>
  <c r="G14" i="53"/>
  <c r="C14" i="53"/>
  <c r="H14" i="53"/>
  <c r="L14" i="53"/>
  <c r="I14" i="53"/>
  <c r="D14" i="53"/>
  <c r="J14" i="53"/>
  <c r="F14" i="53"/>
  <c r="AA12" i="57"/>
  <c r="AA12" i="53"/>
  <c r="AE12" i="53" s="1"/>
  <c r="AF12" i="53" s="1"/>
  <c r="L15" i="57"/>
  <c r="R14" i="57"/>
  <c r="F31" i="36"/>
  <c r="AD13" i="57"/>
  <c r="AQ14" i="57"/>
  <c r="Q13" i="57"/>
  <c r="T13" i="57" s="1"/>
  <c r="AQ13" i="57"/>
  <c r="N13" i="57"/>
  <c r="N14" i="57"/>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R13" i="53" l="1"/>
  <c r="Q13" i="53"/>
  <c r="AD13" i="53"/>
  <c r="N14" i="53"/>
  <c r="N13" i="53"/>
  <c r="M15" i="57"/>
  <c r="AK15" i="57" s="1"/>
  <c r="AB12" i="57"/>
  <c r="AC12" i="57" s="1"/>
  <c r="AE12" i="57"/>
  <c r="AF12" i="57" s="1"/>
  <c r="AB12" i="53"/>
  <c r="AC12" i="53" s="1"/>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N16" i="53" l="1"/>
  <c r="O13" i="53"/>
  <c r="X13" i="53" s="1"/>
  <c r="AA13" i="53" s="1"/>
  <c r="AE13" i="53" s="1"/>
  <c r="AF13" i="53" s="1"/>
  <c r="AT14" i="53"/>
  <c r="AD14" i="53"/>
  <c r="Q14" i="53"/>
  <c r="R14" i="53"/>
  <c r="O14" i="53" s="1"/>
  <c r="X14" i="53" s="1"/>
  <c r="AA14" i="53" s="1"/>
  <c r="AE14" i="53" s="1"/>
  <c r="X14" i="57"/>
  <c r="AB14" i="57" s="1"/>
  <c r="R15" i="57"/>
  <c r="M16" i="57"/>
  <c r="AK16" i="57" s="1"/>
  <c r="AA13" i="57"/>
  <c r="AE13" i="57" s="1"/>
  <c r="AF13" i="57" s="1"/>
  <c r="AB13" i="57"/>
  <c r="AH12" i="53"/>
  <c r="AC13" i="57"/>
  <c r="L17" i="57"/>
  <c r="AQ15" i="57"/>
  <c r="AG12" i="57"/>
  <c r="AK12" i="57" s="1"/>
  <c r="AD15" i="57"/>
  <c r="Q15" i="57"/>
  <c r="T15" i="57" s="1"/>
  <c r="N15" i="57"/>
  <c r="AG13" i="57"/>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G13" i="53" l="1"/>
  <c r="N17" i="53"/>
  <c r="AF14" i="53"/>
  <c r="AB13" i="53"/>
  <c r="AC13" i="53" s="1"/>
  <c r="N15" i="53"/>
  <c r="AB14" i="53"/>
  <c r="AC14" i="53" s="1"/>
  <c r="AA14" i="57"/>
  <c r="AE14" i="57" s="1"/>
  <c r="AF14" i="57" s="1"/>
  <c r="AQ16" i="57"/>
  <c r="R16" i="57"/>
  <c r="M17" i="57"/>
  <c r="AK17" i="57" s="1"/>
  <c r="AJ12" i="57"/>
  <c r="AC14" i="57"/>
  <c r="O15" i="57"/>
  <c r="N17" i="57"/>
  <c r="R16" i="53"/>
  <c r="R15" i="53"/>
  <c r="Q16" i="53"/>
  <c r="AD15" i="53"/>
  <c r="L18" i="57"/>
  <c r="AJ13" i="57"/>
  <c r="AG14" i="57"/>
  <c r="N16" i="57"/>
  <c r="AD16" i="57"/>
  <c r="Q16" i="57"/>
  <c r="T16" i="57" s="1"/>
  <c r="AT15" i="53"/>
  <c r="Q15" i="53"/>
  <c r="AT16" i="53"/>
  <c r="AD16" i="53"/>
  <c r="AG14" i="53"/>
  <c r="G18" i="57"/>
  <c r="E18" i="57"/>
  <c r="D18" i="57"/>
  <c r="C18" i="57"/>
  <c r="K18" i="57"/>
  <c r="I18" i="57"/>
  <c r="H18" i="57"/>
  <c r="F18" i="57"/>
  <c r="J18" i="57"/>
  <c r="P18" i="53"/>
  <c r="H18" i="53"/>
  <c r="K18" i="53"/>
  <c r="C18" i="53"/>
  <c r="F18" i="53"/>
  <c r="I18" i="53"/>
  <c r="E18" i="53"/>
  <c r="G18" i="53"/>
  <c r="J18" i="53"/>
  <c r="L18" i="53"/>
  <c r="D18"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R17" i="53" l="1"/>
  <c r="O17" i="53" s="1"/>
  <c r="AD17" i="53"/>
  <c r="AT17" i="53"/>
  <c r="Q17" i="53"/>
  <c r="N18" i="53"/>
  <c r="O16" i="53"/>
  <c r="X16" i="53" s="1"/>
  <c r="O15" i="53"/>
  <c r="X15" i="53" s="1"/>
  <c r="X15" i="57"/>
  <c r="AB15" i="57" s="1"/>
  <c r="R17" i="57"/>
  <c r="Q17" i="57"/>
  <c r="T17" i="57" s="1"/>
  <c r="AD17" i="57"/>
  <c r="AQ17" i="57"/>
  <c r="M18" i="57"/>
  <c r="AQ18" i="57" s="1"/>
  <c r="O16" i="57"/>
  <c r="X16" i="57" s="1"/>
  <c r="O17" i="57"/>
  <c r="N18" i="57"/>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G17" i="53" l="1"/>
  <c r="N19" i="53"/>
  <c r="AA15" i="53"/>
  <c r="AE15" i="53" s="1"/>
  <c r="AF15" i="53" s="1"/>
  <c r="AA16" i="53"/>
  <c r="AE16" i="53" s="1"/>
  <c r="AF16" i="53" s="1"/>
  <c r="X17" i="53"/>
  <c r="AA15" i="57"/>
  <c r="AE15" i="57" s="1"/>
  <c r="AF15" i="57" s="1"/>
  <c r="AG17" i="57"/>
  <c r="X17" i="57"/>
  <c r="AB17" i="57" s="1"/>
  <c r="Q18" i="57"/>
  <c r="T18" i="57" s="1"/>
  <c r="AK18" i="57"/>
  <c r="AD18" i="57"/>
  <c r="R18" i="57"/>
  <c r="M19" i="57"/>
  <c r="R19" i="57" s="1"/>
  <c r="AA16" i="57"/>
  <c r="AB16" i="57"/>
  <c r="AC15" i="57"/>
  <c r="R18" i="53"/>
  <c r="Q18" i="53"/>
  <c r="AT18" i="53"/>
  <c r="N19" i="57"/>
  <c r="O18" i="57"/>
  <c r="AD18" i="53"/>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O11" i="46" s="1"/>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AB15" i="53" l="1"/>
  <c r="AC15" i="53" s="1"/>
  <c r="AB16" i="53"/>
  <c r="AC16" i="53" s="1"/>
  <c r="N20" i="53"/>
  <c r="O18" i="53"/>
  <c r="X18" i="53" s="1"/>
  <c r="AA17" i="53"/>
  <c r="AE17" i="53" s="1"/>
  <c r="AF17" i="53" s="1"/>
  <c r="F123" i="22"/>
  <c r="X123" i="22"/>
  <c r="T123" i="22"/>
  <c r="X115" i="22"/>
  <c r="T115" i="22"/>
  <c r="F124" i="22"/>
  <c r="X124" i="22"/>
  <c r="T124" i="22"/>
  <c r="F116" i="22"/>
  <c r="X116" i="22"/>
  <c r="T116" i="22"/>
  <c r="F119" i="22"/>
  <c r="X119" i="22"/>
  <c r="T119" i="22"/>
  <c r="AG18" i="57"/>
  <c r="X18" i="57"/>
  <c r="AB18" i="57" s="1"/>
  <c r="AQ19" i="57"/>
  <c r="Q19" i="57"/>
  <c r="T19" i="57" s="1"/>
  <c r="AK19" i="57"/>
  <c r="AD19" i="57"/>
  <c r="M20" i="57"/>
  <c r="AK20" i="57" s="1"/>
  <c r="AA17" i="57"/>
  <c r="AE17" i="57" s="1"/>
  <c r="AF17" i="57" s="1"/>
  <c r="Q19" i="53"/>
  <c r="AD19" i="53"/>
  <c r="AT19" i="53"/>
  <c r="R19" i="53"/>
  <c r="O19" i="53" s="1"/>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M21" i="53" s="1"/>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AB17" i="53" l="1"/>
  <c r="AC17" i="53" s="1"/>
  <c r="AH17" i="53" s="1"/>
  <c r="AG18" i="53"/>
  <c r="AA18" i="53"/>
  <c r="AE18" i="53" s="1"/>
  <c r="AF18" i="53" s="1"/>
  <c r="N21" i="53"/>
  <c r="X19" i="53"/>
  <c r="AA19" i="53" s="1"/>
  <c r="AG19" i="57"/>
  <c r="X19" i="57"/>
  <c r="AB19" i="57" s="1"/>
  <c r="AD20" i="57"/>
  <c r="Q20" i="57"/>
  <c r="T20" i="57" s="1"/>
  <c r="AQ20" i="57"/>
  <c r="R20" i="57"/>
  <c r="M21" i="57"/>
  <c r="AD21" i="57" s="1"/>
  <c r="AC17" i="57"/>
  <c r="AJ17" i="57" s="1"/>
  <c r="AG19" i="53"/>
  <c r="AA18" i="57"/>
  <c r="AE18" i="57" s="1"/>
  <c r="AF18" i="57" s="1"/>
  <c r="AD20" i="53"/>
  <c r="R20" i="53"/>
  <c r="O20" i="53" s="1"/>
  <c r="Q20" i="53"/>
  <c r="O20" i="57"/>
  <c r="N21" i="57"/>
  <c r="AT20" i="53"/>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AB18" i="53" l="1"/>
  <c r="AC18" i="53" s="1"/>
  <c r="AH18" i="53" s="1"/>
  <c r="N22" i="53"/>
  <c r="X20" i="53"/>
  <c r="AA20" i="53" s="1"/>
  <c r="AG20" i="57"/>
  <c r="X20" i="57"/>
  <c r="AB20" i="57" s="1"/>
  <c r="AB19" i="53"/>
  <c r="AC19" i="53" s="1"/>
  <c r="Q21" i="57"/>
  <c r="T21" i="57" s="1"/>
  <c r="AQ21" i="57"/>
  <c r="R21" i="57"/>
  <c r="AK21" i="57"/>
  <c r="M22" i="57"/>
  <c r="AD22" i="57" s="1"/>
  <c r="AC18" i="57"/>
  <c r="AJ18" i="57" s="1"/>
  <c r="AG20" i="53"/>
  <c r="AA19" i="57"/>
  <c r="AE19" i="57" s="1"/>
  <c r="AF19" i="57" s="1"/>
  <c r="O21" i="57"/>
  <c r="N22" i="57"/>
  <c r="AT21" i="53"/>
  <c r="Q21" i="53"/>
  <c r="R21" i="53"/>
  <c r="O21" i="53" s="1"/>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O22" i="53" l="1"/>
  <c r="X22" i="53" s="1"/>
  <c r="N23" i="53"/>
  <c r="AB20" i="53"/>
  <c r="AC20" i="53" s="1"/>
  <c r="X21" i="53"/>
  <c r="AG21" i="57"/>
  <c r="X21" i="57"/>
  <c r="AB21" i="57" s="1"/>
  <c r="R22" i="57"/>
  <c r="AK22" i="57"/>
  <c r="AQ22" i="57"/>
  <c r="Q22" i="57"/>
  <c r="T22" i="57" s="1"/>
  <c r="M23" i="57"/>
  <c r="AK23" i="57" s="1"/>
  <c r="AE20" i="53"/>
  <c r="AF20" i="53" s="1"/>
  <c r="AC19" i="57"/>
  <c r="AJ19" i="57" s="1"/>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AG22" i="53" l="1"/>
  <c r="N24" i="53"/>
  <c r="O23" i="53"/>
  <c r="X23" i="53" s="1"/>
  <c r="AA23" i="53" s="1"/>
  <c r="Y253" i="67"/>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A22" i="53"/>
  <c r="AE22" i="53" s="1"/>
  <c r="AF22" i="53" s="1"/>
  <c r="AA21" i="53"/>
  <c r="AB21" i="53" s="1"/>
  <c r="AC21" i="53" s="1"/>
  <c r="AG22" i="57"/>
  <c r="X22" i="57"/>
  <c r="AB22" i="57" s="1"/>
  <c r="G10" i="67"/>
  <c r="AA10" i="67"/>
  <c r="AD23" i="57"/>
  <c r="AQ23" i="57"/>
  <c r="Q23" i="57"/>
  <c r="T23" i="57" s="1"/>
  <c r="R23" i="57"/>
  <c r="M24" i="57"/>
  <c r="AK24" i="57" s="1"/>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O23" i="57"/>
  <c r="R24" i="53"/>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6" i="63"/>
  <c r="V16" i="63" s="1"/>
  <c r="F17" i="63"/>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G117" i="63" l="1"/>
  <c r="X117" i="63"/>
  <c r="G101" i="63"/>
  <c r="X101" i="63"/>
  <c r="G85" i="63"/>
  <c r="X85" i="63"/>
  <c r="G69" i="63"/>
  <c r="X69" i="63"/>
  <c r="G53" i="63"/>
  <c r="X53" i="63"/>
  <c r="G37" i="63"/>
  <c r="X37" i="63"/>
  <c r="G21" i="63"/>
  <c r="V21" i="63" s="1"/>
  <c r="X21" i="63"/>
  <c r="G115" i="63"/>
  <c r="X115" i="63"/>
  <c r="G67" i="63"/>
  <c r="X67" i="63"/>
  <c r="R74" i="63"/>
  <c r="G114" i="63"/>
  <c r="X114" i="63"/>
  <c r="G98" i="63"/>
  <c r="X98" i="63"/>
  <c r="G82" i="63"/>
  <c r="X82" i="63"/>
  <c r="G66" i="63"/>
  <c r="X66" i="63"/>
  <c r="G50" i="63"/>
  <c r="X50" i="63"/>
  <c r="G34" i="63"/>
  <c r="X34" i="63"/>
  <c r="G18" i="63"/>
  <c r="V18" i="63" s="1"/>
  <c r="X18" i="63"/>
  <c r="R121" i="63"/>
  <c r="R105" i="63"/>
  <c r="G52" i="63"/>
  <c r="X52" i="63"/>
  <c r="G113" i="63"/>
  <c r="X113" i="63"/>
  <c r="G97" i="63"/>
  <c r="X97" i="63"/>
  <c r="G81" i="63"/>
  <c r="X81" i="63"/>
  <c r="G65" i="63"/>
  <c r="X65" i="63"/>
  <c r="G49" i="63"/>
  <c r="X49" i="63"/>
  <c r="G33" i="63"/>
  <c r="X33" i="63"/>
  <c r="G17" i="63"/>
  <c r="V17" i="63" s="1"/>
  <c r="X17" i="63"/>
  <c r="G20" i="63"/>
  <c r="V20" i="63" s="1"/>
  <c r="X20" i="63"/>
  <c r="G99" i="63"/>
  <c r="X99" i="63"/>
  <c r="G35" i="63"/>
  <c r="X35" i="63"/>
  <c r="G112" i="63"/>
  <c r="X112" i="63"/>
  <c r="G96" i="63"/>
  <c r="X96" i="63"/>
  <c r="G80" i="63"/>
  <c r="X80" i="63"/>
  <c r="G64" i="63"/>
  <c r="X64" i="63"/>
  <c r="G48" i="63"/>
  <c r="X48" i="63"/>
  <c r="G32" i="63"/>
  <c r="V32" i="63" s="1"/>
  <c r="X32" i="63"/>
  <c r="Y16" i="63"/>
  <c r="G116" i="63"/>
  <c r="X116" i="63"/>
  <c r="G111" i="63"/>
  <c r="X111" i="63"/>
  <c r="G95" i="63"/>
  <c r="X95" i="63"/>
  <c r="G79" i="63"/>
  <c r="X79" i="63"/>
  <c r="G63" i="63"/>
  <c r="X63" i="63"/>
  <c r="G47" i="63"/>
  <c r="V47" i="63" s="1"/>
  <c r="X47" i="63"/>
  <c r="G31" i="63"/>
  <c r="V31" i="63" s="1"/>
  <c r="X31" i="63"/>
  <c r="G15" i="63"/>
  <c r="V15" i="63" s="1"/>
  <c r="X15" i="63"/>
  <c r="R38" i="63"/>
  <c r="R22" i="63"/>
  <c r="G51" i="63"/>
  <c r="X51" i="63"/>
  <c r="G110" i="63"/>
  <c r="X110" i="63"/>
  <c r="G94" i="63"/>
  <c r="X94" i="63"/>
  <c r="G78" i="63"/>
  <c r="X78" i="63"/>
  <c r="G62" i="63"/>
  <c r="X62" i="63"/>
  <c r="G46" i="63"/>
  <c r="X46" i="63"/>
  <c r="G30" i="63"/>
  <c r="V30" i="63" s="1"/>
  <c r="X30" i="63"/>
  <c r="R117" i="63"/>
  <c r="G84" i="63"/>
  <c r="X84" i="63"/>
  <c r="G83" i="63"/>
  <c r="X83" i="63"/>
  <c r="G19" i="63"/>
  <c r="V19" i="63" s="1"/>
  <c r="X19" i="63"/>
  <c r="G109" i="63"/>
  <c r="X109" i="63"/>
  <c r="G93" i="63"/>
  <c r="X93" i="63"/>
  <c r="G77" i="63"/>
  <c r="X77" i="63"/>
  <c r="G61" i="63"/>
  <c r="X61" i="63"/>
  <c r="G45" i="63"/>
  <c r="X45" i="63"/>
  <c r="G29" i="63"/>
  <c r="V29" i="63" s="1"/>
  <c r="X29" i="63"/>
  <c r="R20" i="63"/>
  <c r="G124" i="63"/>
  <c r="X124" i="63"/>
  <c r="G108" i="63"/>
  <c r="X108" i="63"/>
  <c r="G92" i="63"/>
  <c r="X92" i="63"/>
  <c r="G76" i="63"/>
  <c r="X76" i="63"/>
  <c r="G60" i="63"/>
  <c r="X60" i="63"/>
  <c r="G44" i="63"/>
  <c r="X44" i="63"/>
  <c r="G28" i="63"/>
  <c r="V28" i="63" s="1"/>
  <c r="X28" i="63"/>
  <c r="R115" i="63"/>
  <c r="R99" i="63"/>
  <c r="G123" i="63"/>
  <c r="X123" i="63"/>
  <c r="G107" i="63"/>
  <c r="X107" i="63"/>
  <c r="G91" i="63"/>
  <c r="X91" i="63"/>
  <c r="G75" i="63"/>
  <c r="X75" i="63"/>
  <c r="G59" i="63"/>
  <c r="X59" i="63"/>
  <c r="G43" i="63"/>
  <c r="X43" i="63"/>
  <c r="G27" i="63"/>
  <c r="V27" i="63" s="1"/>
  <c r="X27" i="63"/>
  <c r="G90" i="63"/>
  <c r="X90" i="63"/>
  <c r="G58" i="63"/>
  <c r="X58" i="63"/>
  <c r="G42" i="63"/>
  <c r="X42" i="63"/>
  <c r="G26" i="63"/>
  <c r="V26" i="63" s="1"/>
  <c r="X26" i="63"/>
  <c r="G121" i="63"/>
  <c r="X121" i="63"/>
  <c r="G105" i="63"/>
  <c r="X105" i="63"/>
  <c r="G89" i="63"/>
  <c r="X89" i="63"/>
  <c r="G73" i="63"/>
  <c r="X73" i="63"/>
  <c r="G57" i="63"/>
  <c r="X57" i="63"/>
  <c r="G41" i="63"/>
  <c r="X41" i="63"/>
  <c r="G25" i="63"/>
  <c r="V25" i="63" s="1"/>
  <c r="X25" i="63"/>
  <c r="R16" i="63"/>
  <c r="G100" i="63"/>
  <c r="X100" i="63"/>
  <c r="G106" i="63"/>
  <c r="X106" i="63"/>
  <c r="G120" i="63"/>
  <c r="X120" i="63"/>
  <c r="G104" i="63"/>
  <c r="X104" i="63"/>
  <c r="G88" i="63"/>
  <c r="X88" i="63"/>
  <c r="G72" i="63"/>
  <c r="X72" i="63"/>
  <c r="G56" i="63"/>
  <c r="X56" i="63"/>
  <c r="G40" i="63"/>
  <c r="X40" i="63"/>
  <c r="G24" i="63"/>
  <c r="V24" i="63" s="1"/>
  <c r="X24" i="63"/>
  <c r="G68" i="63"/>
  <c r="X68" i="63"/>
  <c r="G122" i="63"/>
  <c r="X122" i="63"/>
  <c r="R81" i="63"/>
  <c r="G119" i="63"/>
  <c r="X119" i="63"/>
  <c r="G103" i="63"/>
  <c r="X103" i="63"/>
  <c r="G87" i="63"/>
  <c r="X87" i="63"/>
  <c r="G71" i="63"/>
  <c r="X71" i="63"/>
  <c r="G55" i="63"/>
  <c r="X55" i="63"/>
  <c r="G39" i="63"/>
  <c r="X39" i="63"/>
  <c r="G23" i="63"/>
  <c r="V23" i="63" s="1"/>
  <c r="X23" i="63"/>
  <c r="R110" i="63"/>
  <c r="G36" i="63"/>
  <c r="X36" i="63"/>
  <c r="G74" i="63"/>
  <c r="X74" i="63"/>
  <c r="G118" i="63"/>
  <c r="X118" i="63"/>
  <c r="G102" i="63"/>
  <c r="X102" i="63"/>
  <c r="G86" i="63"/>
  <c r="X86" i="63"/>
  <c r="G70" i="63"/>
  <c r="X70" i="63"/>
  <c r="G54" i="63"/>
  <c r="X54" i="63"/>
  <c r="G38" i="63"/>
  <c r="V38" i="63" s="1"/>
  <c r="X38" i="63"/>
  <c r="G22" i="63"/>
  <c r="V22" i="63" s="1"/>
  <c r="X22" i="63"/>
  <c r="AG23" i="53"/>
  <c r="AB22" i="53"/>
  <c r="AC22" i="53" s="1"/>
  <c r="AH22" i="53" s="1"/>
  <c r="N25" i="53"/>
  <c r="O24" i="53"/>
  <c r="X24" i="53" s="1"/>
  <c r="AZ10" i="67"/>
  <c r="Y10" i="67"/>
  <c r="AE13" i="63"/>
  <c r="AD13" i="63"/>
  <c r="R13" i="63" s="1"/>
  <c r="AE12" i="63"/>
  <c r="AD12" i="63"/>
  <c r="AD11" i="63"/>
  <c r="R11" i="63" s="1"/>
  <c r="AE11" i="63"/>
  <c r="AD10" i="63"/>
  <c r="R10" i="63" s="1"/>
  <c r="AE10" i="63"/>
  <c r="R10" i="67"/>
  <c r="U10" i="67"/>
  <c r="T173" i="22" s="1"/>
  <c r="D184" i="36" s="1"/>
  <c r="AE18" i="63"/>
  <c r="AD18" i="63"/>
  <c r="R18" i="63" s="1"/>
  <c r="AE17" i="63"/>
  <c r="AD17" i="63"/>
  <c r="R17" i="63" s="1"/>
  <c r="AE16" i="63"/>
  <c r="AD16" i="63"/>
  <c r="AE15" i="63"/>
  <c r="AD15" i="63"/>
  <c r="R15" i="63" s="1"/>
  <c r="AD243" i="63"/>
  <c r="AE243" i="63"/>
  <c r="AD211" i="63"/>
  <c r="AE211" i="63"/>
  <c r="AD179" i="63"/>
  <c r="AE179" i="63"/>
  <c r="AD139" i="63"/>
  <c r="AE139" i="63"/>
  <c r="AD91" i="63"/>
  <c r="R91" i="63" s="1"/>
  <c r="AE91" i="63"/>
  <c r="AD67" i="63"/>
  <c r="R67" i="63" s="1"/>
  <c r="AE67" i="63"/>
  <c r="AD19" i="63"/>
  <c r="R19" i="63" s="1"/>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R122" i="63" s="1"/>
  <c r="AE114" i="63"/>
  <c r="AD114" i="63"/>
  <c r="R114" i="63" s="1"/>
  <c r="AE106" i="63"/>
  <c r="AD106" i="63"/>
  <c r="R106" i="63" s="1"/>
  <c r="AE98" i="63"/>
  <c r="AD98" i="63"/>
  <c r="R98" i="63" s="1"/>
  <c r="AE90" i="63"/>
  <c r="AD90" i="63"/>
  <c r="R90" i="63" s="1"/>
  <c r="AE82" i="63"/>
  <c r="AD82" i="63"/>
  <c r="R82" i="63" s="1"/>
  <c r="AE74" i="63"/>
  <c r="AD74" i="63"/>
  <c r="AE66" i="63"/>
  <c r="AD66" i="63"/>
  <c r="R66" i="63" s="1"/>
  <c r="AE58" i="63"/>
  <c r="AD58" i="63"/>
  <c r="R58" i="63" s="1"/>
  <c r="AE50" i="63"/>
  <c r="AD50" i="63"/>
  <c r="R50" i="63" s="1"/>
  <c r="AE42" i="63"/>
  <c r="AD42" i="63"/>
  <c r="R42" i="63" s="1"/>
  <c r="AE34" i="63"/>
  <c r="AD34" i="63"/>
  <c r="R34" i="63" s="1"/>
  <c r="AE26" i="63"/>
  <c r="AD26" i="63"/>
  <c r="R26" i="63" s="1"/>
  <c r="AD107" i="63"/>
  <c r="R107" i="63" s="1"/>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R113" i="63" s="1"/>
  <c r="AE113" i="63"/>
  <c r="AD105" i="63"/>
  <c r="AE105" i="63"/>
  <c r="AD97" i="63"/>
  <c r="R97" i="63" s="1"/>
  <c r="AE97" i="63"/>
  <c r="AD89" i="63"/>
  <c r="R89" i="63" s="1"/>
  <c r="AE89" i="63"/>
  <c r="AD81" i="63"/>
  <c r="AE81" i="63"/>
  <c r="AD73" i="63"/>
  <c r="R73" i="63" s="1"/>
  <c r="AE73" i="63"/>
  <c r="AD65" i="63"/>
  <c r="R65" i="63" s="1"/>
  <c r="AE65" i="63"/>
  <c r="AD57" i="63"/>
  <c r="R57" i="63" s="1"/>
  <c r="AE57" i="63"/>
  <c r="AD49" i="63"/>
  <c r="R49" i="63" s="1"/>
  <c r="AE49" i="63"/>
  <c r="AD41" i="63"/>
  <c r="R41" i="63" s="1"/>
  <c r="AE41" i="63"/>
  <c r="AD33" i="63"/>
  <c r="R33" i="63" s="1"/>
  <c r="AE33" i="63"/>
  <c r="AD25" i="63"/>
  <c r="R25" i="63" s="1"/>
  <c r="AE25" i="63"/>
  <c r="AD227" i="63"/>
  <c r="AE227" i="63"/>
  <c r="AD187" i="63"/>
  <c r="AE187" i="63"/>
  <c r="AD123" i="63"/>
  <c r="R123" i="63" s="1"/>
  <c r="AE123" i="63"/>
  <c r="AD51" i="63"/>
  <c r="R51" i="63" s="1"/>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R120" i="63" s="1"/>
  <c r="AE120" i="63"/>
  <c r="AE112" i="63"/>
  <c r="AD112" i="63"/>
  <c r="R112" i="63" s="1"/>
  <c r="AD104" i="63"/>
  <c r="R104" i="63" s="1"/>
  <c r="AE104" i="63"/>
  <c r="AD96" i="63"/>
  <c r="R96" i="63" s="1"/>
  <c r="AE96" i="63"/>
  <c r="AE88" i="63"/>
  <c r="AD88" i="63"/>
  <c r="R88" i="63" s="1"/>
  <c r="AE80" i="63"/>
  <c r="AD80" i="63"/>
  <c r="R80" i="63" s="1"/>
  <c r="AD72" i="63"/>
  <c r="R72" i="63" s="1"/>
  <c r="AE72" i="63"/>
  <c r="AE64" i="63"/>
  <c r="AD64" i="63"/>
  <c r="R64" i="63" s="1"/>
  <c r="AD56" i="63"/>
  <c r="R56" i="63" s="1"/>
  <c r="AE56" i="63"/>
  <c r="AE48" i="63"/>
  <c r="AD48" i="63"/>
  <c r="R48" i="63" s="1"/>
  <c r="AD40" i="63"/>
  <c r="R40" i="63" s="1"/>
  <c r="AE40" i="63"/>
  <c r="AD32" i="63"/>
  <c r="R32" i="63" s="1"/>
  <c r="AE32" i="63"/>
  <c r="AD24" i="63"/>
  <c r="R24" i="63" s="1"/>
  <c r="AE24" i="63"/>
  <c r="AD235" i="63"/>
  <c r="AE235" i="63"/>
  <c r="AD203" i="63"/>
  <c r="AE203" i="63"/>
  <c r="AD163" i="63"/>
  <c r="AE163" i="63"/>
  <c r="AD131" i="63"/>
  <c r="AE131" i="63"/>
  <c r="AD83" i="63"/>
  <c r="R83" i="63" s="1"/>
  <c r="AE83" i="63"/>
  <c r="AD59" i="63"/>
  <c r="R59" i="63" s="1"/>
  <c r="AE59" i="63"/>
  <c r="AD27" i="63"/>
  <c r="R27" i="63" s="1"/>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R119" i="63" s="1"/>
  <c r="AE119" i="63"/>
  <c r="AD111" i="63"/>
  <c r="R111" i="63" s="1"/>
  <c r="AE111" i="63"/>
  <c r="AD103" i="63"/>
  <c r="R103" i="63" s="1"/>
  <c r="AE103" i="63"/>
  <c r="AD95" i="63"/>
  <c r="R95" i="63" s="1"/>
  <c r="AE95" i="63"/>
  <c r="AD87" i="63"/>
  <c r="R87" i="63" s="1"/>
  <c r="AE87" i="63"/>
  <c r="AD79" i="63"/>
  <c r="R79" i="63" s="1"/>
  <c r="AE79" i="63"/>
  <c r="AD71" i="63"/>
  <c r="R71" i="63" s="1"/>
  <c r="AE71" i="63"/>
  <c r="AD63" i="63"/>
  <c r="R63" i="63" s="1"/>
  <c r="AE63" i="63"/>
  <c r="AD55" i="63"/>
  <c r="R55" i="63" s="1"/>
  <c r="AE55" i="63"/>
  <c r="AD47" i="63"/>
  <c r="R47" i="63" s="1"/>
  <c r="AE47" i="63"/>
  <c r="AD39" i="63"/>
  <c r="R39" i="63" s="1"/>
  <c r="AE39" i="63"/>
  <c r="AD31" i="63"/>
  <c r="R31" i="63" s="1"/>
  <c r="AE31" i="63"/>
  <c r="AD23" i="63"/>
  <c r="R23" i="63" s="1"/>
  <c r="AE23" i="63"/>
  <c r="AD251" i="63"/>
  <c r="AE251" i="63"/>
  <c r="AD195" i="63"/>
  <c r="AE195" i="63"/>
  <c r="AD155" i="63"/>
  <c r="AE155" i="63"/>
  <c r="AD99" i="63"/>
  <c r="AE99" i="63"/>
  <c r="AD75" i="63"/>
  <c r="R75" i="63" s="1"/>
  <c r="AE75" i="63"/>
  <c r="AD35" i="63"/>
  <c r="R35" i="63" s="1"/>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R118" i="63" s="1"/>
  <c r="AE118" i="63"/>
  <c r="AD110" i="63"/>
  <c r="AE110" i="63"/>
  <c r="AD102" i="63"/>
  <c r="R102" i="63" s="1"/>
  <c r="AE102" i="63"/>
  <c r="AD94" i="63"/>
  <c r="AE94" i="63"/>
  <c r="R94" i="63" s="1"/>
  <c r="AD86" i="63"/>
  <c r="R86" i="63" s="1"/>
  <c r="AE86" i="63"/>
  <c r="AD78" i="63"/>
  <c r="R78" i="63" s="1"/>
  <c r="AE78" i="63"/>
  <c r="AD70" i="63"/>
  <c r="R70" i="63" s="1"/>
  <c r="AE70" i="63"/>
  <c r="AD62" i="63"/>
  <c r="R62" i="63" s="1"/>
  <c r="AE62" i="63"/>
  <c r="AD54" i="63"/>
  <c r="R54" i="63" s="1"/>
  <c r="AE54" i="63"/>
  <c r="AD46" i="63"/>
  <c r="R46" i="63" s="1"/>
  <c r="AE46" i="63"/>
  <c r="AD38" i="63"/>
  <c r="AE38" i="63"/>
  <c r="AD30" i="63"/>
  <c r="R30" i="63" s="1"/>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R109" i="63" s="1"/>
  <c r="AE109" i="63"/>
  <c r="AD101" i="63"/>
  <c r="R101" i="63" s="1"/>
  <c r="AE101" i="63"/>
  <c r="AD93" i="63"/>
  <c r="R93" i="63" s="1"/>
  <c r="AE93" i="63"/>
  <c r="AD85" i="63"/>
  <c r="R85" i="63" s="1"/>
  <c r="AE85" i="63"/>
  <c r="AD77" i="63"/>
  <c r="R77" i="63" s="1"/>
  <c r="AE77" i="63"/>
  <c r="AD69" i="63"/>
  <c r="R69" i="63" s="1"/>
  <c r="AE69" i="63"/>
  <c r="AD61" i="63"/>
  <c r="R61" i="63" s="1"/>
  <c r="AE61" i="63"/>
  <c r="AD53" i="63"/>
  <c r="R53" i="63" s="1"/>
  <c r="AE53" i="63"/>
  <c r="AD45" i="63"/>
  <c r="R45" i="63" s="1"/>
  <c r="AE45" i="63"/>
  <c r="AD37" i="63"/>
  <c r="R37" i="63" s="1"/>
  <c r="AE37" i="63"/>
  <c r="AD29" i="63"/>
  <c r="R29" i="63" s="1"/>
  <c r="AE29" i="63"/>
  <c r="AD21" i="63"/>
  <c r="R21" i="63" s="1"/>
  <c r="AE21" i="63"/>
  <c r="AD219" i="63"/>
  <c r="AE219" i="63"/>
  <c r="AD171" i="63"/>
  <c r="AE171" i="63"/>
  <c r="AD115" i="63"/>
  <c r="AE115" i="63"/>
  <c r="AD43" i="63"/>
  <c r="R43" i="63" s="1"/>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R124" i="63" s="1"/>
  <c r="AE124" i="63"/>
  <c r="AD116" i="63"/>
  <c r="R116" i="63" s="1"/>
  <c r="AE116" i="63"/>
  <c r="AD108" i="63"/>
  <c r="R108" i="63" s="1"/>
  <c r="AE108" i="63"/>
  <c r="AD100" i="63"/>
  <c r="R100" i="63" s="1"/>
  <c r="AE100" i="63"/>
  <c r="AD92" i="63"/>
  <c r="R92" i="63" s="1"/>
  <c r="AE92" i="63"/>
  <c r="AD84" i="63"/>
  <c r="R84" i="63" s="1"/>
  <c r="AE84" i="63"/>
  <c r="AD76" i="63"/>
  <c r="R76" i="63" s="1"/>
  <c r="AE76" i="63"/>
  <c r="AD68" i="63"/>
  <c r="R68" i="63" s="1"/>
  <c r="AE68" i="63"/>
  <c r="AD60" i="63"/>
  <c r="R60" i="63" s="1"/>
  <c r="AE60" i="63"/>
  <c r="AD52" i="63"/>
  <c r="R52" i="63" s="1"/>
  <c r="AE52" i="63"/>
  <c r="AD44" i="63"/>
  <c r="R44" i="63" s="1"/>
  <c r="AE44" i="63"/>
  <c r="AD36" i="63"/>
  <c r="R36" i="63" s="1"/>
  <c r="AE36" i="63"/>
  <c r="AD28" i="63"/>
  <c r="R28" i="63" s="1"/>
  <c r="AE28" i="63"/>
  <c r="AD20" i="63"/>
  <c r="AE20" i="63"/>
  <c r="G13" i="63"/>
  <c r="V13" i="63" s="1"/>
  <c r="X13" i="63"/>
  <c r="G12" i="63"/>
  <c r="V12" i="63" s="1"/>
  <c r="X12" i="63"/>
  <c r="AB23" i="53"/>
  <c r="AC23" i="53" s="1"/>
  <c r="AG23" i="57"/>
  <c r="X23" i="57"/>
  <c r="AB23" i="57" s="1"/>
  <c r="G11" i="63"/>
  <c r="V11" i="63" s="1"/>
  <c r="X11" i="63"/>
  <c r="X10" i="63"/>
  <c r="AD24" i="57"/>
  <c r="Q24" i="57"/>
  <c r="T24" i="57" s="1"/>
  <c r="AQ24" i="57"/>
  <c r="R24" i="57"/>
  <c r="M25" i="57"/>
  <c r="AK25" i="57" s="1"/>
  <c r="P12" i="64"/>
  <c r="Q12" i="64" s="1"/>
  <c r="AB40" i="68"/>
  <c r="AB215" i="68"/>
  <c r="AB77" i="68"/>
  <c r="AB104" i="68"/>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0" i="63"/>
  <c r="W19" i="63"/>
  <c r="W18" i="63"/>
  <c r="W17" i="63"/>
  <c r="W16" i="63"/>
  <c r="W256" i="63"/>
  <c r="W47" i="63"/>
  <c r="W38" i="63"/>
  <c r="Q259" i="64"/>
  <c r="T259" i="64"/>
  <c r="Q258" i="64"/>
  <c r="T258" i="64"/>
  <c r="W15" i="63"/>
  <c r="D186" i="36"/>
  <c r="V175" i="22"/>
  <c r="V172" i="22"/>
  <c r="W13" i="63"/>
  <c r="W12" i="63"/>
  <c r="AE21" i="53"/>
  <c r="AF21" i="53" s="1"/>
  <c r="W248" i="63"/>
  <c r="R25" i="53"/>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V58" i="63" l="1"/>
  <c r="W58" i="63"/>
  <c r="V119" i="63"/>
  <c r="W119" i="63"/>
  <c r="V73" i="63"/>
  <c r="W73" i="63"/>
  <c r="V42" i="63"/>
  <c r="W42" i="63"/>
  <c r="V124" i="63"/>
  <c r="W124" i="63"/>
  <c r="V51" i="63"/>
  <c r="W51" i="63"/>
  <c r="V49" i="63"/>
  <c r="W49" i="63"/>
  <c r="V114" i="63"/>
  <c r="Y114" i="63" s="1"/>
  <c r="W114" i="63"/>
  <c r="V65" i="63"/>
  <c r="W65" i="63"/>
  <c r="R12" i="63"/>
  <c r="V86" i="63"/>
  <c r="W86" i="63"/>
  <c r="V122" i="63"/>
  <c r="W122" i="63"/>
  <c r="V56" i="63"/>
  <c r="W56" i="63"/>
  <c r="V59" i="63"/>
  <c r="W59" i="63"/>
  <c r="V109" i="63"/>
  <c r="W109" i="63"/>
  <c r="Y30" i="63"/>
  <c r="V95" i="63"/>
  <c r="Y95" i="63" s="1"/>
  <c r="W95" i="63"/>
  <c r="Y32" i="63"/>
  <c r="Y20" i="63"/>
  <c r="V67" i="63"/>
  <c r="W67" i="63"/>
  <c r="Y23" i="63"/>
  <c r="V105" i="63"/>
  <c r="W105" i="63"/>
  <c r="V90" i="63"/>
  <c r="W90" i="63"/>
  <c r="Y28" i="63"/>
  <c r="V81" i="63"/>
  <c r="W81" i="63"/>
  <c r="Y18" i="63"/>
  <c r="V37" i="63"/>
  <c r="W37" i="63"/>
  <c r="V99" i="63"/>
  <c r="Y99" i="63" s="1"/>
  <c r="W99" i="63"/>
  <c r="V102" i="63"/>
  <c r="Y102" i="63" s="1"/>
  <c r="W102" i="63"/>
  <c r="V72" i="63"/>
  <c r="W72" i="63"/>
  <c r="V75" i="63"/>
  <c r="W75" i="63"/>
  <c r="Y19" i="63"/>
  <c r="V46" i="63"/>
  <c r="W46" i="63"/>
  <c r="V111" i="63"/>
  <c r="W111" i="63"/>
  <c r="V48" i="63"/>
  <c r="W48" i="63"/>
  <c r="V115" i="63"/>
  <c r="Y115" i="63" s="1"/>
  <c r="W115" i="63"/>
  <c r="V70" i="63"/>
  <c r="W70" i="63"/>
  <c r="V93" i="63"/>
  <c r="W93" i="63"/>
  <c r="V39" i="63"/>
  <c r="W39" i="63"/>
  <c r="V68" i="63"/>
  <c r="W68" i="63"/>
  <c r="V121" i="63"/>
  <c r="W121" i="63"/>
  <c r="V44" i="63"/>
  <c r="W44" i="63"/>
  <c r="V97" i="63"/>
  <c r="W97" i="63"/>
  <c r="V34" i="63"/>
  <c r="Y34" i="63" s="1"/>
  <c r="W34" i="63"/>
  <c r="V53" i="63"/>
  <c r="W53" i="63"/>
  <c r="W21" i="63"/>
  <c r="Y21" i="63" s="1"/>
  <c r="V118" i="63"/>
  <c r="W118" i="63"/>
  <c r="V88" i="63"/>
  <c r="W88" i="63"/>
  <c r="V91" i="63"/>
  <c r="W91" i="63"/>
  <c r="V83" i="63"/>
  <c r="W83" i="63"/>
  <c r="V62" i="63"/>
  <c r="W62" i="63"/>
  <c r="V64" i="63"/>
  <c r="Y64" i="63" s="1"/>
  <c r="W64" i="63"/>
  <c r="V43" i="63"/>
  <c r="W43" i="63"/>
  <c r="V55" i="63"/>
  <c r="Y55" i="63" s="1"/>
  <c r="W55" i="63"/>
  <c r="V60" i="63"/>
  <c r="W60" i="63"/>
  <c r="V113" i="63"/>
  <c r="W113" i="63"/>
  <c r="V50" i="63"/>
  <c r="W50" i="63"/>
  <c r="V69" i="63"/>
  <c r="W69" i="63"/>
  <c r="V74" i="63"/>
  <c r="W74" i="63"/>
  <c r="V104" i="63"/>
  <c r="Y104" i="63" s="1"/>
  <c r="W104" i="63"/>
  <c r="V107" i="63"/>
  <c r="W107" i="63"/>
  <c r="Y29" i="63"/>
  <c r="V78" i="63"/>
  <c r="W78" i="63"/>
  <c r="Y15" i="63"/>
  <c r="V116" i="63"/>
  <c r="W116" i="63"/>
  <c r="V80" i="63"/>
  <c r="W80" i="63"/>
  <c r="V71" i="63"/>
  <c r="W71" i="63"/>
  <c r="Y25" i="63"/>
  <c r="V76" i="63"/>
  <c r="W76" i="63"/>
  <c r="V84" i="63"/>
  <c r="Y84" i="63" s="1"/>
  <c r="W84" i="63"/>
  <c r="V66" i="63"/>
  <c r="W66" i="63"/>
  <c r="V85" i="63"/>
  <c r="W85" i="63"/>
  <c r="Y22" i="63"/>
  <c r="V36" i="63"/>
  <c r="W36" i="63"/>
  <c r="V120" i="63"/>
  <c r="W120" i="63"/>
  <c r="V123" i="63"/>
  <c r="W123" i="63"/>
  <c r="V45" i="63"/>
  <c r="W45" i="63"/>
  <c r="V94" i="63"/>
  <c r="Y94" i="63" s="1"/>
  <c r="W94" i="63"/>
  <c r="Y31" i="63"/>
  <c r="V96" i="63"/>
  <c r="W96" i="63"/>
  <c r="V52" i="63"/>
  <c r="W52" i="63"/>
  <c r="V87" i="63"/>
  <c r="W87" i="63"/>
  <c r="V41" i="63"/>
  <c r="W41" i="63"/>
  <c r="V92" i="63"/>
  <c r="W92" i="63"/>
  <c r="Y17" i="63"/>
  <c r="V82" i="63"/>
  <c r="W82" i="63"/>
  <c r="V101" i="63"/>
  <c r="Y101" i="63" s="1"/>
  <c r="W101" i="63"/>
  <c r="V79" i="63"/>
  <c r="Y79" i="63" s="1"/>
  <c r="W79" i="63"/>
  <c r="Y38" i="63"/>
  <c r="V61" i="63"/>
  <c r="W61" i="63"/>
  <c r="V110" i="63"/>
  <c r="W110" i="63"/>
  <c r="Y47" i="63"/>
  <c r="V112" i="63"/>
  <c r="W112" i="63"/>
  <c r="V40" i="63"/>
  <c r="Y40" i="63" s="1"/>
  <c r="W40" i="63"/>
  <c r="V89" i="63"/>
  <c r="W89" i="63"/>
  <c r="V103" i="63"/>
  <c r="Y103" i="63" s="1"/>
  <c r="W103" i="63"/>
  <c r="V106" i="63"/>
  <c r="Y106" i="63" s="1"/>
  <c r="W106" i="63"/>
  <c r="V57" i="63"/>
  <c r="Y57" i="63" s="1"/>
  <c r="W57" i="63"/>
  <c r="Y26" i="63"/>
  <c r="V108" i="63"/>
  <c r="W108" i="63"/>
  <c r="V33" i="63"/>
  <c r="W33" i="63"/>
  <c r="V98" i="63"/>
  <c r="W98" i="63"/>
  <c r="V117" i="63"/>
  <c r="W117" i="63"/>
  <c r="V100" i="63"/>
  <c r="W100" i="63"/>
  <c r="V54" i="63"/>
  <c r="Y54" i="63" s="1"/>
  <c r="W54" i="63"/>
  <c r="Y24" i="63"/>
  <c r="Y27" i="63"/>
  <c r="V77" i="63"/>
  <c r="W77" i="63"/>
  <c r="V63" i="63"/>
  <c r="W63" i="63"/>
  <c r="V35" i="63"/>
  <c r="W35" i="63"/>
  <c r="N26" i="53"/>
  <c r="AA24" i="53"/>
  <c r="AE24" i="53" s="1"/>
  <c r="AF24" i="53" s="1"/>
  <c r="O25" i="53"/>
  <c r="X25" i="53" s="1"/>
  <c r="Y13" i="63"/>
  <c r="Y12" i="63"/>
  <c r="W11" i="63"/>
  <c r="T176" i="22"/>
  <c r="D187" i="36" s="1"/>
  <c r="AG24" i="57"/>
  <c r="X24" i="57"/>
  <c r="S12" i="64"/>
  <c r="T12" i="64" s="1"/>
  <c r="U12" i="64" s="1"/>
  <c r="Z12" i="64" s="1"/>
  <c r="AD25" i="57"/>
  <c r="R25" i="57"/>
  <c r="Q25" i="57"/>
  <c r="T25" i="57" s="1"/>
  <c r="AQ25" i="57"/>
  <c r="M26" i="57"/>
  <c r="AK26" i="57" s="1"/>
  <c r="AB16" i="68"/>
  <c r="AB19" i="68"/>
  <c r="AB18" i="68"/>
  <c r="AB15" i="68"/>
  <c r="AB21" i="68"/>
  <c r="AB20" i="68"/>
  <c r="AB17" i="68"/>
  <c r="AB14" i="68"/>
  <c r="Z17" i="64"/>
  <c r="Z16" i="64"/>
  <c r="V2" i="64"/>
  <c r="AC22" i="57"/>
  <c r="AJ22" i="57" s="1"/>
  <c r="O25" i="57"/>
  <c r="N26" i="57"/>
  <c r="AG24" i="53"/>
  <c r="AH21" i="53"/>
  <c r="AE23" i="53"/>
  <c r="AF23" i="53" s="1"/>
  <c r="AA23" i="57"/>
  <c r="AE23" i="57" s="1"/>
  <c r="AF23" i="57" s="1"/>
  <c r="Z44" i="64"/>
  <c r="R26" i="53"/>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48" i="63" l="1"/>
  <c r="Y89" i="63"/>
  <c r="Y45" i="63"/>
  <c r="Y74" i="63"/>
  <c r="Y62" i="63"/>
  <c r="Y49" i="63"/>
  <c r="Y44" i="63"/>
  <c r="Y111" i="63"/>
  <c r="Y109" i="63"/>
  <c r="Y123" i="63"/>
  <c r="Y71" i="63"/>
  <c r="Y69" i="63"/>
  <c r="Y83" i="63"/>
  <c r="Y81" i="63"/>
  <c r="Y51" i="63"/>
  <c r="Y76" i="63"/>
  <c r="Y37" i="63"/>
  <c r="Y117" i="63"/>
  <c r="Y92" i="63"/>
  <c r="Y121" i="63"/>
  <c r="Y46" i="63"/>
  <c r="Y59" i="63"/>
  <c r="Y98" i="63"/>
  <c r="Y120" i="63"/>
  <c r="Y80" i="63"/>
  <c r="Y50" i="63"/>
  <c r="Y91" i="63"/>
  <c r="Y124" i="63"/>
  <c r="Y68" i="63"/>
  <c r="Y90" i="63"/>
  <c r="Y56" i="63"/>
  <c r="Y112" i="63"/>
  <c r="Y35" i="63"/>
  <c r="Y113" i="63"/>
  <c r="Y88" i="63"/>
  <c r="Y75" i="63"/>
  <c r="Y42" i="63"/>
  <c r="Y33" i="63"/>
  <c r="Y108" i="63"/>
  <c r="Y39" i="63"/>
  <c r="Y105" i="63"/>
  <c r="Y122" i="63"/>
  <c r="Y63" i="63"/>
  <c r="Y60" i="63"/>
  <c r="Y118" i="63"/>
  <c r="Y72" i="63"/>
  <c r="Y73" i="63"/>
  <c r="Y116" i="63"/>
  <c r="Y77" i="63"/>
  <c r="Y61" i="63"/>
  <c r="Y52" i="63"/>
  <c r="Y85" i="63"/>
  <c r="Y78" i="63"/>
  <c r="Y93" i="63"/>
  <c r="Y86" i="63"/>
  <c r="Y100" i="63"/>
  <c r="Y97" i="63"/>
  <c r="Y82" i="63"/>
  <c r="Y36" i="63"/>
  <c r="Y67" i="63"/>
  <c r="Y119" i="63"/>
  <c r="Y41" i="63"/>
  <c r="Y110" i="63"/>
  <c r="Y96" i="63"/>
  <c r="Y66" i="63"/>
  <c r="Y53" i="63"/>
  <c r="Y70" i="63"/>
  <c r="Y87" i="63"/>
  <c r="Y107" i="63"/>
  <c r="Y43" i="63"/>
  <c r="Y65" i="63"/>
  <c r="Y58" i="63"/>
  <c r="AB24" i="53"/>
  <c r="AC24" i="53" s="1"/>
  <c r="AH24" i="53" s="1"/>
  <c r="O26" i="53"/>
  <c r="AG26" i="53" s="1"/>
  <c r="AA25" i="53"/>
  <c r="AE25" i="53" s="1"/>
  <c r="AF25" i="53" s="1"/>
  <c r="Y11" i="63"/>
  <c r="AG25" i="57"/>
  <c r="X25" i="57"/>
  <c r="Y10" i="63"/>
  <c r="AQ26" i="57"/>
  <c r="R26" i="57"/>
  <c r="Q26" i="57"/>
  <c r="T26" i="57" s="1"/>
  <c r="AD26" i="57"/>
  <c r="M27" i="57"/>
  <c r="AK27" i="57" s="1"/>
  <c r="AC260" i="68"/>
  <c r="AB260" i="68"/>
  <c r="L12" i="69"/>
  <c r="L175" i="22"/>
  <c r="L174" i="22"/>
  <c r="AA24" i="57"/>
  <c r="AE24" i="57" s="1"/>
  <c r="AF24" i="57" s="1"/>
  <c r="AB24" i="57"/>
  <c r="AC24" i="57"/>
  <c r="AJ24" i="57" s="1"/>
  <c r="AC23" i="57"/>
  <c r="AJ23" i="57" s="1"/>
  <c r="O26" i="57"/>
  <c r="N27" i="57"/>
  <c r="AH23" i="53"/>
  <c r="AG25"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X26" i="53" l="1"/>
  <c r="AA26" i="53" s="1"/>
  <c r="AB25" i="53"/>
  <c r="AC25" i="53" s="1"/>
  <c r="AH25" i="53" s="1"/>
  <c r="N28" i="53"/>
  <c r="N27" i="53"/>
  <c r="N12" i="69"/>
  <c r="Q12" i="69" s="1"/>
  <c r="AG26" i="57"/>
  <c r="X26" i="57"/>
  <c r="Q27" i="57"/>
  <c r="T27" i="57" s="1"/>
  <c r="AD27" i="57"/>
  <c r="R27" i="57"/>
  <c r="AP12" i="69"/>
  <c r="AQ27" i="57"/>
  <c r="M28" i="57"/>
  <c r="AK28" i="57" s="1"/>
  <c r="AA25" i="57"/>
  <c r="AE25" i="57" s="1"/>
  <c r="AF25" i="57" s="1"/>
  <c r="AB25" i="57"/>
  <c r="AC25" i="57"/>
  <c r="AJ25" i="57" s="1"/>
  <c r="O27" i="57"/>
  <c r="N28" i="57"/>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AB26" i="53" l="1"/>
  <c r="AC26" i="53" s="1"/>
  <c r="O27" i="53"/>
  <c r="AG27" i="53" s="1"/>
  <c r="N29" i="53"/>
  <c r="F137" i="22"/>
  <c r="X137" i="22"/>
  <c r="T137" i="22"/>
  <c r="F139" i="22"/>
  <c r="X139" i="22"/>
  <c r="T139" i="22"/>
  <c r="X131" i="22"/>
  <c r="T131" i="22"/>
  <c r="F132" i="22"/>
  <c r="X132" i="22"/>
  <c r="T132" i="22"/>
  <c r="T133" i="22"/>
  <c r="X133" i="22"/>
  <c r="F130" i="22"/>
  <c r="T130" i="22"/>
  <c r="X130" i="22"/>
  <c r="F136" i="22"/>
  <c r="T136" i="22"/>
  <c r="X136" i="22"/>
  <c r="F138" i="22"/>
  <c r="X138" i="22"/>
  <c r="T138" i="22"/>
  <c r="F140" i="22"/>
  <c r="X140" i="22"/>
  <c r="T140" i="22"/>
  <c r="F129" i="22"/>
  <c r="X129" i="22"/>
  <c r="T129" i="22"/>
  <c r="AG27" i="57"/>
  <c r="X27" i="57"/>
  <c r="AE12" i="69"/>
  <c r="AH12" i="69" s="1"/>
  <c r="AP13" i="69"/>
  <c r="N13" i="69"/>
  <c r="AP14" i="69"/>
  <c r="N14" i="69"/>
  <c r="U14" i="69" s="1"/>
  <c r="AD28" i="57"/>
  <c r="Q28" i="57"/>
  <c r="T28" i="57" s="1"/>
  <c r="M29" i="57"/>
  <c r="AK29" i="57" s="1"/>
  <c r="AQ28" i="57"/>
  <c r="R28" i="57"/>
  <c r="E136" i="22"/>
  <c r="AA26" i="57"/>
  <c r="AE26" i="57" s="1"/>
  <c r="AF26" i="57" s="1"/>
  <c r="AB26" i="57"/>
  <c r="AC26" i="57"/>
  <c r="AJ26" i="57" s="1"/>
  <c r="O28" i="57"/>
  <c r="N29" i="57"/>
  <c r="R28" i="53"/>
  <c r="O28" i="53" s="1"/>
  <c r="AD28" i="53"/>
  <c r="AT28"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X27" i="53" l="1"/>
  <c r="AA27" i="53" s="1"/>
  <c r="AE27" i="53" s="1"/>
  <c r="AF27" i="53" s="1"/>
  <c r="N30" i="53"/>
  <c r="O29" i="53"/>
  <c r="AG29" i="53" s="1"/>
  <c r="AG28" i="57"/>
  <c r="X28" i="57"/>
  <c r="X28" i="53"/>
  <c r="AA28" i="53" s="1"/>
  <c r="R29" i="57"/>
  <c r="AD29" i="57"/>
  <c r="AQ29" i="57"/>
  <c r="Q29" i="57"/>
  <c r="T29" i="57" s="1"/>
  <c r="M30" i="57"/>
  <c r="AK30" i="57" s="1"/>
  <c r="U13" i="69"/>
  <c r="Q14" i="69"/>
  <c r="Q13" i="69"/>
  <c r="AA27" i="57"/>
  <c r="AE27" i="57" s="1"/>
  <c r="AF27" i="57" s="1"/>
  <c r="AB27" i="57"/>
  <c r="O12" i="69"/>
  <c r="P12" i="69" s="1"/>
  <c r="AC27" i="57"/>
  <c r="AJ27" i="57" s="1"/>
  <c r="O29" i="57"/>
  <c r="N30" i="57"/>
  <c r="AH26" i="53"/>
  <c r="AG28" i="53"/>
  <c r="G12" i="69"/>
  <c r="H12" i="69" s="1"/>
  <c r="I12" i="69" s="1"/>
  <c r="J12" i="69" s="1"/>
  <c r="R30" i="53"/>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AB27" i="53" l="1"/>
  <c r="AC27" i="53" s="1"/>
  <c r="AH27" i="53" s="1"/>
  <c r="N31" i="53"/>
  <c r="X29" i="53"/>
  <c r="O30" i="53"/>
  <c r="X30" i="53" s="1"/>
  <c r="Y12" i="69"/>
  <c r="AB12" i="69" s="1"/>
  <c r="AC12" i="69" s="1"/>
  <c r="AB28" i="53"/>
  <c r="AC28" i="53" s="1"/>
  <c r="AG29" i="57"/>
  <c r="X29" i="57"/>
  <c r="R30" i="57"/>
  <c r="AP16" i="69"/>
  <c r="N16" i="69"/>
  <c r="U16" i="69" s="1"/>
  <c r="AP15" i="69"/>
  <c r="N15" i="69"/>
  <c r="AD30" i="57"/>
  <c r="AQ30" i="57"/>
  <c r="Q30" i="57"/>
  <c r="T30" i="57" s="1"/>
  <c r="M31" i="57"/>
  <c r="AK31" i="57" s="1"/>
  <c r="O14" i="69"/>
  <c r="O13" i="69"/>
  <c r="M12" i="69"/>
  <c r="K12" i="69"/>
  <c r="AA28" i="57"/>
  <c r="AE28" i="57" s="1"/>
  <c r="AF28" i="57" s="1"/>
  <c r="AB28" i="57"/>
  <c r="AC28" i="57"/>
  <c r="AJ28" i="57" s="1"/>
  <c r="O30" i="57"/>
  <c r="N31" i="57"/>
  <c r="AE28" i="53"/>
  <c r="AF28" i="53" s="1"/>
  <c r="R31" i="53"/>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AG30" i="53" l="1"/>
  <c r="AA29" i="53"/>
  <c r="AE29" i="53" s="1"/>
  <c r="AF29" i="53" s="1"/>
  <c r="AA30" i="53"/>
  <c r="AB30" i="53" s="1"/>
  <c r="AC30" i="53" s="1"/>
  <c r="N32" i="53"/>
  <c r="O31" i="53"/>
  <c r="X31" i="53" s="1"/>
  <c r="Y13" i="69"/>
  <c r="AB13" i="69" s="1"/>
  <c r="AC13" i="69" s="1"/>
  <c r="Y14" i="69"/>
  <c r="AB14" i="69" s="1"/>
  <c r="AC14" i="69" s="1"/>
  <c r="AD14" i="69" s="1"/>
  <c r="AG30" i="57"/>
  <c r="X30" i="57"/>
  <c r="R31" i="57"/>
  <c r="AQ31" i="57"/>
  <c r="Q31" i="57"/>
  <c r="T31" i="57" s="1"/>
  <c r="AD31" i="57"/>
  <c r="M32" i="57"/>
  <c r="AK32" i="57" s="1"/>
  <c r="U15" i="69"/>
  <c r="AF14" i="69"/>
  <c r="U11" i="46"/>
  <c r="Q15" i="69"/>
  <c r="Q16" i="69"/>
  <c r="AA29" i="57"/>
  <c r="AE29" i="57" s="1"/>
  <c r="AF29" i="57" s="1"/>
  <c r="AB29" i="57"/>
  <c r="AC29" i="57"/>
  <c r="AJ29" i="57" s="1"/>
  <c r="O31" i="57"/>
  <c r="N32" i="57"/>
  <c r="AH28"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N33" i="53" l="1"/>
  <c r="AB29" i="53"/>
  <c r="AC29" i="53" s="1"/>
  <c r="AH29" i="53" s="1"/>
  <c r="AG31" i="53"/>
  <c r="AA31" i="53"/>
  <c r="AB31" i="53" s="1"/>
  <c r="AC31" i="53" s="1"/>
  <c r="AG14" i="69"/>
  <c r="AG31" i="57"/>
  <c r="X31" i="57"/>
  <c r="AD32" i="57"/>
  <c r="AP18" i="69"/>
  <c r="N18" i="69"/>
  <c r="U18" i="69" s="1"/>
  <c r="AP17" i="69"/>
  <c r="N17" i="69"/>
  <c r="AQ32" i="57"/>
  <c r="Q32" i="57"/>
  <c r="T32" i="57" s="1"/>
  <c r="R32" i="57"/>
  <c r="M33" i="57"/>
  <c r="AK33" i="57" s="1"/>
  <c r="O16" i="69"/>
  <c r="O15" i="69"/>
  <c r="AO14" i="69"/>
  <c r="AD13" i="69"/>
  <c r="AF13" i="69"/>
  <c r="AG13" i="69" s="1"/>
  <c r="L19" i="69"/>
  <c r="U9" i="78"/>
  <c r="AA30" i="57"/>
  <c r="AE30" i="57" s="1"/>
  <c r="AF30" i="57" s="1"/>
  <c r="AB30" i="57"/>
  <c r="AD12" i="69"/>
  <c r="AF12" i="69"/>
  <c r="AG12" i="69" s="1"/>
  <c r="AC30" i="57"/>
  <c r="AJ30" i="57" s="1"/>
  <c r="O32" i="57"/>
  <c r="N33" i="57"/>
  <c r="Q32" i="53"/>
  <c r="R32" i="53"/>
  <c r="AD32" i="53"/>
  <c r="AT32" i="53"/>
  <c r="AE30" i="53"/>
  <c r="AF30" i="53" s="1"/>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N34" i="53" l="1"/>
  <c r="O32" i="53"/>
  <c r="X32" i="53" s="1"/>
  <c r="Y15" i="69"/>
  <c r="Y16" i="69"/>
  <c r="AB16" i="69" s="1"/>
  <c r="AC16" i="69" s="1"/>
  <c r="AD16" i="69" s="1"/>
  <c r="AG32" i="57"/>
  <c r="X32" i="57"/>
  <c r="AP19" i="69"/>
  <c r="N19" i="69"/>
  <c r="U19" i="69" s="1"/>
  <c r="AD33" i="57"/>
  <c r="R33" i="57"/>
  <c r="AQ33" i="57"/>
  <c r="Q33" i="57"/>
  <c r="T33" i="57" s="1"/>
  <c r="M34" i="57"/>
  <c r="AK34" i="57" s="1"/>
  <c r="U17" i="69"/>
  <c r="AF16" i="69"/>
  <c r="AO13" i="69"/>
  <c r="AO12" i="69"/>
  <c r="L20" i="69"/>
  <c r="Q17" i="69"/>
  <c r="Q18" i="69"/>
  <c r="AA31" i="57"/>
  <c r="AE31" i="57" s="1"/>
  <c r="AF31" i="57" s="1"/>
  <c r="AB31" i="57"/>
  <c r="AC31" i="57"/>
  <c r="AJ31" i="57" s="1"/>
  <c r="O33" i="57"/>
  <c r="N34" i="57"/>
  <c r="AH30" i="53"/>
  <c r="AD33" i="53"/>
  <c r="AE31" i="53"/>
  <c r="AF31" i="53" s="1"/>
  <c r="AT33" i="53"/>
  <c r="Q33" i="53"/>
  <c r="R33" i="53"/>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N35" i="53" l="1"/>
  <c r="AG32" i="53"/>
  <c r="AA32" i="53"/>
  <c r="AE32" i="53" s="1"/>
  <c r="AF32" i="53" s="1"/>
  <c r="O33" i="53"/>
  <c r="X33" i="53" s="1"/>
  <c r="AG16" i="69"/>
  <c r="AG33" i="57"/>
  <c r="X33" i="57"/>
  <c r="R34" i="57"/>
  <c r="AP20" i="69"/>
  <c r="N20" i="69"/>
  <c r="Q34" i="57"/>
  <c r="T34" i="57" s="1"/>
  <c r="AD34" i="57"/>
  <c r="M35" i="57"/>
  <c r="AK35" i="57" s="1"/>
  <c r="AQ34" i="57"/>
  <c r="R34" i="53"/>
  <c r="O34" i="53" s="1"/>
  <c r="O17" i="69"/>
  <c r="Y17" i="69" s="1"/>
  <c r="O18" i="69"/>
  <c r="AO16" i="69"/>
  <c r="L21" i="69"/>
  <c r="Q19" i="69"/>
  <c r="AA32" i="57"/>
  <c r="AE32" i="57" s="1"/>
  <c r="AF32" i="57" s="1"/>
  <c r="AB32" i="57"/>
  <c r="N35" i="57"/>
  <c r="AC32" i="57"/>
  <c r="AJ32" i="57" s="1"/>
  <c r="O34" i="57"/>
  <c r="AH31" i="53"/>
  <c r="Q34" i="53"/>
  <c r="AD34" i="53"/>
  <c r="AT34"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M36" i="53" s="1"/>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R35" i="46" s="1"/>
  <c r="V35" i="46" s="1"/>
  <c r="M34" i="46"/>
  <c r="I34" i="46"/>
  <c r="R34" i="46" s="1"/>
  <c r="V34" i="46" s="1"/>
  <c r="M33" i="46"/>
  <c r="I33" i="46"/>
  <c r="R33" i="46" s="1"/>
  <c r="V33" i="46" s="1"/>
  <c r="M32" i="46"/>
  <c r="I32" i="46"/>
  <c r="M31" i="46"/>
  <c r="I31" i="46"/>
  <c r="M30" i="46"/>
  <c r="I30" i="46"/>
  <c r="M29" i="46"/>
  <c r="I29" i="46"/>
  <c r="M28" i="46"/>
  <c r="I28" i="46"/>
  <c r="M27" i="46"/>
  <c r="I27" i="46"/>
  <c r="M26" i="46"/>
  <c r="I26" i="46"/>
  <c r="M25" i="46"/>
  <c r="I25" i="46"/>
  <c r="M24" i="46"/>
  <c r="I24" i="46"/>
  <c r="M23" i="46"/>
  <c r="I23" i="46"/>
  <c r="R23" i="46" s="1"/>
  <c r="M22" i="46"/>
  <c r="I22" i="46"/>
  <c r="R22" i="46" s="1"/>
  <c r="M21" i="46"/>
  <c r="I21" i="46"/>
  <c r="R21" i="46" s="1"/>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AB32" i="53" l="1"/>
  <c r="AC32" i="53" s="1"/>
  <c r="AH32" i="53" s="1"/>
  <c r="AG33" i="53"/>
  <c r="N36" i="53"/>
  <c r="AA33" i="53"/>
  <c r="AE33" i="53" s="1"/>
  <c r="AF33" i="53" s="1"/>
  <c r="Y18" i="69"/>
  <c r="AB18" i="69" s="1"/>
  <c r="AC18" i="69" s="1"/>
  <c r="AG34" i="57"/>
  <c r="X34" i="57"/>
  <c r="X34" i="53"/>
  <c r="AP21" i="69"/>
  <c r="N21" i="69"/>
  <c r="U21" i="69" s="1"/>
  <c r="Q35" i="57"/>
  <c r="T35" i="57" s="1"/>
  <c r="AQ35" i="57"/>
  <c r="AD35" i="57"/>
  <c r="M36" i="57"/>
  <c r="AK36" i="57" s="1"/>
  <c r="R35" i="57"/>
  <c r="U20" i="69"/>
  <c r="O19" i="69"/>
  <c r="O35" i="57"/>
  <c r="Q20" i="69"/>
  <c r="AC15" i="69"/>
  <c r="AA33" i="57"/>
  <c r="AE33" i="57" s="1"/>
  <c r="AF33" i="57" s="1"/>
  <c r="AB33" i="57"/>
  <c r="AC33" i="57"/>
  <c r="AJ33" i="57" s="1"/>
  <c r="N36" i="57"/>
  <c r="AD35" i="53"/>
  <c r="AG34" i="53"/>
  <c r="Q35" i="53"/>
  <c r="AT35" i="53"/>
  <c r="R35" i="53"/>
  <c r="AB17" i="69"/>
  <c r="R36" i="53"/>
  <c r="D21" i="69"/>
  <c r="E21" i="69" s="1"/>
  <c r="F21" i="69" s="1"/>
  <c r="G21" i="69" s="1"/>
  <c r="H21" i="69" s="1"/>
  <c r="I21" i="69" s="1"/>
  <c r="J21" i="69" s="1"/>
  <c r="K21" i="69" s="1"/>
  <c r="D115" i="22"/>
  <c r="M21" i="69"/>
  <c r="AY20" i="69"/>
  <c r="L37" i="57"/>
  <c r="AT36" i="53"/>
  <c r="Q36" i="53"/>
  <c r="AD36" i="53"/>
  <c r="I37" i="53"/>
  <c r="C37" i="53"/>
  <c r="M37" i="53" s="1"/>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AB33" i="53" l="1"/>
  <c r="AC33" i="53" s="1"/>
  <c r="AH33" i="53" s="1"/>
  <c r="N37" i="53"/>
  <c r="O35" i="53"/>
  <c r="X35" i="53" s="1"/>
  <c r="O36" i="53"/>
  <c r="X36" i="53" s="1"/>
  <c r="Y19" i="69"/>
  <c r="AB19" i="69" s="1"/>
  <c r="AC19" i="69" s="1"/>
  <c r="AG35" i="57"/>
  <c r="X35" i="57"/>
  <c r="AB35" i="57" s="1"/>
  <c r="AA34" i="53"/>
  <c r="AE34" i="53" s="1"/>
  <c r="AF34" i="53" s="1"/>
  <c r="AD36" i="57"/>
  <c r="R36" i="57"/>
  <c r="Q36" i="57"/>
  <c r="T36" i="57" s="1"/>
  <c r="AQ36" i="57"/>
  <c r="M37" i="57"/>
  <c r="AK37" i="57" s="1"/>
  <c r="O20" i="69"/>
  <c r="AD18" i="69"/>
  <c r="AF18" i="69"/>
  <c r="AG18" i="69" s="1"/>
  <c r="AD15" i="69"/>
  <c r="AF15" i="69"/>
  <c r="AG15" i="69" s="1"/>
  <c r="O22" i="69"/>
  <c r="L22" i="69"/>
  <c r="Q21" i="69"/>
  <c r="O38" i="57"/>
  <c r="P38" i="57"/>
  <c r="AC17" i="69"/>
  <c r="AA34" i="57"/>
  <c r="AE34" i="57" s="1"/>
  <c r="AF34" i="57" s="1"/>
  <c r="AB34" i="57"/>
  <c r="AC34" i="57"/>
  <c r="AJ34" i="57" s="1"/>
  <c r="O36" i="57"/>
  <c r="N37" i="57"/>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AB34" i="53" l="1"/>
  <c r="AC34" i="53" s="1"/>
  <c r="AH34" i="53" s="1"/>
  <c r="AG35" i="53"/>
  <c r="AG36" i="53"/>
  <c r="N38" i="53"/>
  <c r="AA35" i="53"/>
  <c r="AB35" i="53" s="1"/>
  <c r="AC35" i="53" s="1"/>
  <c r="AA36" i="53"/>
  <c r="AB36" i="53" s="1"/>
  <c r="AC36" i="53" s="1"/>
  <c r="F107" i="22"/>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F103" i="22"/>
  <c r="X103" i="22"/>
  <c r="T103" i="22"/>
  <c r="F104"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AP23" i="69"/>
  <c r="N23" i="69"/>
  <c r="U23" i="69" s="1"/>
  <c r="AP22" i="69"/>
  <c r="N22" i="69"/>
  <c r="U22" i="69" s="1"/>
  <c r="Q37" i="57"/>
  <c r="T37" i="57" s="1"/>
  <c r="AQ37" i="57"/>
  <c r="R37" i="57"/>
  <c r="AD37" i="57"/>
  <c r="M38" i="57"/>
  <c r="AK38" i="57" s="1"/>
  <c r="O21" i="69"/>
  <c r="AF20" i="69"/>
  <c r="AD19" i="69"/>
  <c r="AF19" i="69"/>
  <c r="AG19" i="69" s="1"/>
  <c r="AO18" i="69"/>
  <c r="AD17" i="69"/>
  <c r="AF17" i="69"/>
  <c r="AG17" i="69" s="1"/>
  <c r="AO15" i="69"/>
  <c r="AA35" i="57"/>
  <c r="AE35" i="57" s="1"/>
  <c r="AF35" i="57" s="1"/>
  <c r="O39" i="57"/>
  <c r="P39" i="57"/>
  <c r="AC35" i="57"/>
  <c r="AJ35" i="57" s="1"/>
  <c r="O37" i="57"/>
  <c r="AD37" i="53"/>
  <c r="R37" i="53"/>
  <c r="AT37" i="53"/>
  <c r="Q37" i="53"/>
  <c r="O24" i="69"/>
  <c r="AO23" i="69"/>
  <c r="R38" i="53"/>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T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N39" i="53" l="1"/>
  <c r="O37" i="53"/>
  <c r="X37" i="53" s="1"/>
  <c r="O38" i="53"/>
  <c r="AG38" i="53" s="1"/>
  <c r="Y21" i="69"/>
  <c r="AB21" i="69" s="1"/>
  <c r="AC21" i="69" s="1"/>
  <c r="AG20" i="69"/>
  <c r="AG37" i="57"/>
  <c r="X37" i="57"/>
  <c r="AG39" i="57"/>
  <c r="AE38" i="57"/>
  <c r="AP24" i="69"/>
  <c r="N24" i="69"/>
  <c r="U24" i="69" s="1"/>
  <c r="AC38" i="57"/>
  <c r="Q38" i="57"/>
  <c r="T38" i="57" s="1"/>
  <c r="AD38" i="57"/>
  <c r="AQ38" i="57"/>
  <c r="AJ38" i="57"/>
  <c r="R38" i="57"/>
  <c r="M39" i="57"/>
  <c r="AK39" i="57" s="1"/>
  <c r="AO20" i="69"/>
  <c r="AO19" i="69"/>
  <c r="AO17" i="69"/>
  <c r="AF22" i="69"/>
  <c r="Q22" i="69"/>
  <c r="AF23" i="69"/>
  <c r="Q23" i="69"/>
  <c r="O40" i="57"/>
  <c r="P40" i="57"/>
  <c r="AA36" i="57"/>
  <c r="AE36" i="57" s="1"/>
  <c r="AF36" i="57" s="1"/>
  <c r="AB36" i="57"/>
  <c r="AC36" i="57"/>
  <c r="AJ36" i="57" s="1"/>
  <c r="AE36" i="53"/>
  <c r="AF36" i="53" s="1"/>
  <c r="AE35" i="53"/>
  <c r="AF35" i="53" s="1"/>
  <c r="AO24" i="69"/>
  <c r="O25" i="69"/>
  <c r="R39" i="53"/>
  <c r="AY22" i="69"/>
  <c r="AY23" i="69"/>
  <c r="L40" i="57"/>
  <c r="AT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AG37" i="53" l="1"/>
  <c r="O39" i="53"/>
  <c r="AG39" i="53" s="1"/>
  <c r="Q40" i="53"/>
  <c r="AA37" i="53"/>
  <c r="AE37" i="53" s="1"/>
  <c r="AF37" i="53" s="1"/>
  <c r="X38" i="53"/>
  <c r="Y22" i="69"/>
  <c r="AB22" i="69" s="1"/>
  <c r="AC22" i="69" s="1"/>
  <c r="AD22" i="69" s="1"/>
  <c r="X38" i="57"/>
  <c r="AB38" i="57" s="1"/>
  <c r="AG40" i="57"/>
  <c r="AP25" i="69"/>
  <c r="N25" i="69"/>
  <c r="U25" i="69" s="1"/>
  <c r="AJ39" i="57"/>
  <c r="R39" i="57"/>
  <c r="AC39" i="57"/>
  <c r="Q39" i="57"/>
  <c r="T39" i="57" s="1"/>
  <c r="AD39" i="57"/>
  <c r="AQ39" i="57"/>
  <c r="AE39" i="57"/>
  <c r="M40" i="57"/>
  <c r="AK40" i="57" s="1"/>
  <c r="AD21" i="69"/>
  <c r="AF21" i="69"/>
  <c r="AG21" i="69" s="1"/>
  <c r="AF24" i="69"/>
  <c r="Q24" i="69"/>
  <c r="O41" i="57"/>
  <c r="P41" i="57"/>
  <c r="AA37" i="57"/>
  <c r="AE37" i="57" s="1"/>
  <c r="AF37" i="57" s="1"/>
  <c r="AB37" i="57"/>
  <c r="AC37" i="57"/>
  <c r="AJ37" i="57" s="1"/>
  <c r="AH35" i="53"/>
  <c r="AH36" i="53"/>
  <c r="AB23" i="69"/>
  <c r="AG23" i="69"/>
  <c r="O26" i="69"/>
  <c r="AO25" i="69"/>
  <c r="AY24" i="69"/>
  <c r="L41" i="57"/>
  <c r="N41" i="57"/>
  <c r="I41" i="53"/>
  <c r="AH24" i="69"/>
  <c r="D41" i="53"/>
  <c r="K41" i="53"/>
  <c r="P41" i="53"/>
  <c r="J41" i="53"/>
  <c r="E41" i="53"/>
  <c r="L41" i="53"/>
  <c r="F41" i="53"/>
  <c r="G41"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B37" i="53" l="1"/>
  <c r="AC37" i="53" s="1"/>
  <c r="AH37" i="53" s="1"/>
  <c r="AT40" i="53"/>
  <c r="R40" i="53"/>
  <c r="X39" i="53"/>
  <c r="AD40" i="53"/>
  <c r="N40" i="53"/>
  <c r="N41" i="53"/>
  <c r="AA38" i="53"/>
  <c r="AE38" i="53" s="1"/>
  <c r="AF38" i="53" s="1"/>
  <c r="AG22" i="69"/>
  <c r="AB24" i="69"/>
  <c r="AC24" i="69" s="1"/>
  <c r="AD24" i="69" s="1"/>
  <c r="X39" i="57"/>
  <c r="AA39" i="57" s="1"/>
  <c r="AG41" i="57"/>
  <c r="AP26" i="69"/>
  <c r="N26" i="69"/>
  <c r="U26" i="69" s="1"/>
  <c r="AF38" i="57"/>
  <c r="AA38" i="57"/>
  <c r="AQ40" i="57"/>
  <c r="AD40" i="57"/>
  <c r="AJ40" i="57"/>
  <c r="R40" i="57"/>
  <c r="AE40" i="57"/>
  <c r="Q40" i="57"/>
  <c r="T40" i="57" s="1"/>
  <c r="AC40" i="57"/>
  <c r="M41" i="57"/>
  <c r="AK41" i="57" s="1"/>
  <c r="AO21" i="69"/>
  <c r="AF25" i="69"/>
  <c r="Q25" i="69"/>
  <c r="O42" i="57"/>
  <c r="P42" i="57"/>
  <c r="AC23" i="69"/>
  <c r="AD23" i="69" s="1"/>
  <c r="O27" i="69"/>
  <c r="AG24" i="69"/>
  <c r="AO26" i="69"/>
  <c r="R41" i="53"/>
  <c r="AY25" i="69"/>
  <c r="L42" i="57"/>
  <c r="AT41" i="53"/>
  <c r="N42" i="57"/>
  <c r="D42" i="53"/>
  <c r="AH25" i="69"/>
  <c r="AD41" i="53"/>
  <c r="K42" i="53"/>
  <c r="L42" i="53"/>
  <c r="H42" i="53"/>
  <c r="J42" i="53"/>
  <c r="P42" i="53"/>
  <c r="Q41" i="53"/>
  <c r="C42" i="53"/>
  <c r="M42" i="53" s="1"/>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O40" i="53" l="1"/>
  <c r="X40" i="53" s="1"/>
  <c r="AB38" i="53"/>
  <c r="AC38" i="53" s="1"/>
  <c r="AH38" i="53" s="1"/>
  <c r="AA39" i="53"/>
  <c r="AE39" i="53" s="1"/>
  <c r="AF39" i="53" s="1"/>
  <c r="O41" i="53"/>
  <c r="AG41" i="53" s="1"/>
  <c r="N42" i="53"/>
  <c r="X40" i="57"/>
  <c r="AB40" i="57" s="1"/>
  <c r="AG42" i="57"/>
  <c r="AP27" i="69"/>
  <c r="N27" i="69"/>
  <c r="U27" i="69" s="1"/>
  <c r="AF39" i="57"/>
  <c r="AB39" i="57"/>
  <c r="AJ41" i="57"/>
  <c r="R41" i="57"/>
  <c r="AD41" i="57"/>
  <c r="AE41" i="57"/>
  <c r="Q41" i="57"/>
  <c r="T41" i="57" s="1"/>
  <c r="AC41" i="57"/>
  <c r="AQ41" i="57"/>
  <c r="M42" i="57"/>
  <c r="AK42" i="57" s="1"/>
  <c r="AF26" i="69"/>
  <c r="Q26" i="69"/>
  <c r="O43" i="57"/>
  <c r="P43" i="57"/>
  <c r="AB25" i="69"/>
  <c r="AG25" i="69"/>
  <c r="O28" i="69"/>
  <c r="AO27" i="69"/>
  <c r="R42" i="53"/>
  <c r="AY26" i="69"/>
  <c r="L43" i="57"/>
  <c r="AT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0" i="53" l="1"/>
  <c r="AB39" i="53"/>
  <c r="AC39" i="53" s="1"/>
  <c r="AH39" i="53" s="1"/>
  <c r="X41" i="53"/>
  <c r="N43" i="53"/>
  <c r="AA40" i="53"/>
  <c r="AE40" i="53" s="1"/>
  <c r="AF40" i="53" s="1"/>
  <c r="O42" i="53"/>
  <c r="AG42" i="53" s="1"/>
  <c r="AG43" i="57"/>
  <c r="X41" i="57"/>
  <c r="AA41" i="57" s="1"/>
  <c r="AP28" i="69"/>
  <c r="N28" i="69"/>
  <c r="U28" i="69" s="1"/>
  <c r="AF40" i="57"/>
  <c r="AA40" i="57"/>
  <c r="Q42" i="57"/>
  <c r="T42" i="57" s="1"/>
  <c r="AQ42" i="57"/>
  <c r="AC42" i="57"/>
  <c r="AE42" i="57"/>
  <c r="AD42" i="57"/>
  <c r="AJ42" i="57"/>
  <c r="R42" i="57"/>
  <c r="M43" i="57"/>
  <c r="AE43" i="57" s="1"/>
  <c r="AF27" i="69"/>
  <c r="Q27" i="69"/>
  <c r="O44" i="57"/>
  <c r="P44" i="57"/>
  <c r="AC25" i="69"/>
  <c r="AD25" i="69" s="1"/>
  <c r="AB26" i="69"/>
  <c r="AG26" i="69"/>
  <c r="AO28" i="69"/>
  <c r="O29" i="69"/>
  <c r="R43" i="53"/>
  <c r="AY27" i="69"/>
  <c r="L44" i="57"/>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AB40" i="53" l="1"/>
  <c r="AC40" i="53" s="1"/>
  <c r="AH40" i="53" s="1"/>
  <c r="AA41" i="53"/>
  <c r="AE41" i="53" s="1"/>
  <c r="AF41" i="53" s="1"/>
  <c r="O43" i="53"/>
  <c r="AG43" i="53" s="1"/>
  <c r="X42" i="53"/>
  <c r="Y27" i="69"/>
  <c r="AB27" i="69" s="1"/>
  <c r="AC27" i="69" s="1"/>
  <c r="AD27" i="69" s="1"/>
  <c r="X42" i="57"/>
  <c r="AB42" i="57" s="1"/>
  <c r="AG44" i="57"/>
  <c r="AP29" i="69"/>
  <c r="N29" i="69"/>
  <c r="U29" i="69" s="1"/>
  <c r="AF41" i="57"/>
  <c r="AQ43" i="57"/>
  <c r="AB41" i="57"/>
  <c r="M44" i="57"/>
  <c r="AK44" i="57" s="1"/>
  <c r="AD43" i="57"/>
  <c r="AJ43" i="57"/>
  <c r="AK43" i="57"/>
  <c r="Q43" i="57"/>
  <c r="T43" i="57" s="1"/>
  <c r="AC43" i="57"/>
  <c r="R43" i="57"/>
  <c r="AF28" i="69"/>
  <c r="Q28" i="69"/>
  <c r="O45" i="57"/>
  <c r="P45" i="57"/>
  <c r="AC26" i="69"/>
  <c r="AD26" i="69" s="1"/>
  <c r="O30" i="69"/>
  <c r="AO29" i="69"/>
  <c r="AY28" i="69"/>
  <c r="L45" i="57"/>
  <c r="N45" i="57"/>
  <c r="AH28" i="69"/>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B41" i="53" l="1"/>
  <c r="AC41" i="53" s="1"/>
  <c r="AH41" i="53" s="1"/>
  <c r="AD44" i="53"/>
  <c r="Q44" i="53"/>
  <c r="AT44" i="53"/>
  <c r="R44" i="53"/>
  <c r="X43" i="53"/>
  <c r="Q45" i="53"/>
  <c r="AA42" i="53"/>
  <c r="AE42" i="53" s="1"/>
  <c r="AF42" i="53" s="1"/>
  <c r="N44" i="53"/>
  <c r="AG27" i="69"/>
  <c r="X43" i="57"/>
  <c r="AB43" i="57" s="1"/>
  <c r="AG45" i="57"/>
  <c r="AP30" i="69"/>
  <c r="N30" i="69"/>
  <c r="U30" i="69" s="1"/>
  <c r="AQ44" i="57"/>
  <c r="Q44" i="57"/>
  <c r="T44" i="57" s="1"/>
  <c r="AD44" i="57"/>
  <c r="AA42" i="57"/>
  <c r="AF42" i="57"/>
  <c r="AJ44" i="57"/>
  <c r="R44" i="57"/>
  <c r="AE44" i="57"/>
  <c r="AC44" i="57"/>
  <c r="M45" i="57"/>
  <c r="AK45" i="57" s="1"/>
  <c r="AF29" i="69"/>
  <c r="Q29" i="69"/>
  <c r="O46" i="57"/>
  <c r="P46" i="57"/>
  <c r="AB28" i="69"/>
  <c r="AG28" i="69"/>
  <c r="AO30" i="69"/>
  <c r="O31" i="69"/>
  <c r="AY29" i="69"/>
  <c r="L46" i="57"/>
  <c r="N46" i="57"/>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AT45" i="53" l="1"/>
  <c r="O44" i="53"/>
  <c r="AG44" i="53" s="1"/>
  <c r="AB42" i="53"/>
  <c r="AC42" i="53" s="1"/>
  <c r="AH42" i="53" s="1"/>
  <c r="AD45" i="53"/>
  <c r="R45" i="53"/>
  <c r="AA43" i="53"/>
  <c r="AE43" i="53" s="1"/>
  <c r="AF43" i="53" s="1"/>
  <c r="N45" i="53"/>
  <c r="AD46" i="53"/>
  <c r="X44" i="57"/>
  <c r="AB44" i="57" s="1"/>
  <c r="AG46" i="57"/>
  <c r="AP31" i="69"/>
  <c r="N31" i="69"/>
  <c r="U31" i="69" s="1"/>
  <c r="AQ45" i="57"/>
  <c r="Q45" i="57"/>
  <c r="T45" i="57" s="1"/>
  <c r="AC45" i="57"/>
  <c r="AJ45" i="57"/>
  <c r="R45" i="57"/>
  <c r="AD45" i="57"/>
  <c r="AE45" i="57"/>
  <c r="AA43" i="57"/>
  <c r="AF43" i="57"/>
  <c r="M46" i="57"/>
  <c r="AK46" i="57" s="1"/>
  <c r="AF30" i="69"/>
  <c r="Q30" i="69"/>
  <c r="O47" i="57"/>
  <c r="P47" i="57"/>
  <c r="AC28" i="69"/>
  <c r="AD28" i="69" s="1"/>
  <c r="AB29" i="69"/>
  <c r="AG29" i="69"/>
  <c r="AO31" i="69"/>
  <c r="O32" i="69"/>
  <c r="AY30" i="69"/>
  <c r="L47" i="57"/>
  <c r="N47" i="57"/>
  <c r="K47" i="53"/>
  <c r="AH30" i="69"/>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X44" i="53" l="1"/>
  <c r="AA44" i="53" s="1"/>
  <c r="AE44" i="53" s="1"/>
  <c r="AF44" i="53" s="1"/>
  <c r="AB43" i="53"/>
  <c r="AC43" i="53" s="1"/>
  <c r="AH43" i="53" s="1"/>
  <c r="O45" i="53"/>
  <c r="AG45" i="53" s="1"/>
  <c r="AT46" i="53"/>
  <c r="R46" i="53"/>
  <c r="Q46" i="53"/>
  <c r="N46" i="53"/>
  <c r="Y30" i="69"/>
  <c r="AB30" i="69" s="1"/>
  <c r="AC30" i="69" s="1"/>
  <c r="AD30" i="69" s="1"/>
  <c r="X45" i="57"/>
  <c r="AB45" i="57" s="1"/>
  <c r="AG47" i="57"/>
  <c r="AP32" i="69"/>
  <c r="N32" i="69"/>
  <c r="U32" i="69" s="1"/>
  <c r="AF44" i="57"/>
  <c r="AA44" i="57"/>
  <c r="AE46" i="57"/>
  <c r="AD46" i="57"/>
  <c r="AJ46" i="57"/>
  <c r="R46" i="57"/>
  <c r="Q46" i="57"/>
  <c r="T46" i="57" s="1"/>
  <c r="AC46" i="57"/>
  <c r="AQ46" i="57"/>
  <c r="M47" i="57"/>
  <c r="AK47" i="57" s="1"/>
  <c r="AF31" i="69"/>
  <c r="Q31" i="69"/>
  <c r="O48" i="57"/>
  <c r="P48" i="57"/>
  <c r="AC29" i="69"/>
  <c r="AD29" i="69" s="1"/>
  <c r="AO32" i="69"/>
  <c r="O33" i="69"/>
  <c r="AY31" i="69"/>
  <c r="L48" i="57"/>
  <c r="N48" i="57"/>
  <c r="AH31" i="69"/>
  <c r="AK47" i="52" a="1"/>
  <c r="AK47" i="52" s="1"/>
  <c r="B49" i="53" s="1"/>
  <c r="F48" i="53"/>
  <c r="C48" i="53"/>
  <c r="P48"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B44" i="53" l="1"/>
  <c r="AC44" i="53" s="1"/>
  <c r="AH44" i="53" s="1"/>
  <c r="AD47" i="53"/>
  <c r="R47" i="53"/>
  <c r="O46" i="53"/>
  <c r="X46" i="53" s="1"/>
  <c r="AT47" i="53"/>
  <c r="X45" i="53"/>
  <c r="AA45" i="53" s="1"/>
  <c r="AE45" i="53" s="1"/>
  <c r="AF45" i="53" s="1"/>
  <c r="Q47" i="53"/>
  <c r="N47" i="53"/>
  <c r="AG30" i="69"/>
  <c r="X46" i="57"/>
  <c r="AB46" i="57" s="1"/>
  <c r="AG48" i="57"/>
  <c r="AP33" i="69"/>
  <c r="N33" i="69"/>
  <c r="U33" i="69" s="1"/>
  <c r="AF45" i="57"/>
  <c r="AA45" i="57"/>
  <c r="AJ47" i="57"/>
  <c r="R47" i="57"/>
  <c r="AC47" i="57"/>
  <c r="Q47" i="57"/>
  <c r="T47" i="57" s="1"/>
  <c r="AD47" i="57"/>
  <c r="AE47" i="57"/>
  <c r="AQ47" i="57"/>
  <c r="M48" i="57"/>
  <c r="AK48" i="57" s="1"/>
  <c r="AF32" i="69"/>
  <c r="Q32" i="69"/>
  <c r="O49" i="57"/>
  <c r="P49" i="57"/>
  <c r="AB31" i="69"/>
  <c r="AG31" i="69"/>
  <c r="AO33" i="69"/>
  <c r="O34" i="69"/>
  <c r="AY32" i="69"/>
  <c r="L49" i="57"/>
  <c r="N49" i="57"/>
  <c r="AH32" i="69"/>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AG46" i="53" l="1"/>
  <c r="O47" i="53"/>
  <c r="X47" i="53" s="1"/>
  <c r="AT48" i="53"/>
  <c r="AB45" i="53"/>
  <c r="AC45" i="53" s="1"/>
  <c r="AH45" i="53" s="1"/>
  <c r="R48" i="53"/>
  <c r="Q48" i="53"/>
  <c r="AD48" i="53"/>
  <c r="N49" i="53"/>
  <c r="N48" i="53"/>
  <c r="AA46" i="53"/>
  <c r="AE46" i="53" s="1"/>
  <c r="AF46" i="53" s="1"/>
  <c r="X47" i="57"/>
  <c r="AB47" i="57" s="1"/>
  <c r="AG49" i="57"/>
  <c r="AF46" i="57"/>
  <c r="AA46" i="57"/>
  <c r="AP34" i="69"/>
  <c r="N34" i="69"/>
  <c r="U34" i="69" s="1"/>
  <c r="AD48" i="57"/>
  <c r="AQ48" i="57"/>
  <c r="AE48" i="57"/>
  <c r="Q48" i="57"/>
  <c r="T48" i="57" s="1"/>
  <c r="AC48" i="57"/>
  <c r="AJ48" i="57"/>
  <c r="R48" i="57"/>
  <c r="M49" i="57"/>
  <c r="AK49" i="57" s="1"/>
  <c r="AF33" i="69"/>
  <c r="Q33" i="69"/>
  <c r="O50" i="57"/>
  <c r="P50" i="57"/>
  <c r="AC31" i="69"/>
  <c r="AD31" i="69" s="1"/>
  <c r="AB32" i="69"/>
  <c r="AG32" i="69"/>
  <c r="AO34" i="69"/>
  <c r="O35" i="69"/>
  <c r="R49" i="53"/>
  <c r="AY33" i="69"/>
  <c r="L50" i="57"/>
  <c r="AT49" i="53"/>
  <c r="N50" i="57"/>
  <c r="H50" i="53"/>
  <c r="AH33" i="69"/>
  <c r="Q49" i="53"/>
  <c r="AD49" i="53"/>
  <c r="F50" i="53"/>
  <c r="K50" i="53"/>
  <c r="P50" i="53"/>
  <c r="L50" i="53"/>
  <c r="C50" i="53"/>
  <c r="M50" i="53" s="1"/>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AG47" i="53" l="1"/>
  <c r="AB46" i="53"/>
  <c r="AC46" i="53" s="1"/>
  <c r="AH46" i="53" s="1"/>
  <c r="O48" i="53"/>
  <c r="X48" i="53" s="1"/>
  <c r="N50" i="53"/>
  <c r="AA47" i="53"/>
  <c r="AE47" i="53" s="1"/>
  <c r="AF47" i="53" s="1"/>
  <c r="O49" i="53"/>
  <c r="AG49" i="53" s="1"/>
  <c r="X48" i="57"/>
  <c r="AB48" i="57" s="1"/>
  <c r="Y33" i="69"/>
  <c r="AB33" i="69" s="1"/>
  <c r="AC33" i="69" s="1"/>
  <c r="AD33" i="69" s="1"/>
  <c r="AG50" i="57"/>
  <c r="AP35" i="69"/>
  <c r="N35" i="69"/>
  <c r="U35" i="69" s="1"/>
  <c r="AF47" i="57"/>
  <c r="AA47" i="57"/>
  <c r="AC49" i="57"/>
  <c r="AE49" i="57"/>
  <c r="AQ49" i="57"/>
  <c r="Q49" i="57"/>
  <c r="T49" i="57" s="1"/>
  <c r="AD49" i="57"/>
  <c r="AJ49" i="57"/>
  <c r="R49" i="57"/>
  <c r="M50" i="57"/>
  <c r="AK50" i="57" s="1"/>
  <c r="AF34" i="69"/>
  <c r="Q34" i="69"/>
  <c r="O51" i="57"/>
  <c r="P51" i="57"/>
  <c r="AC32" i="69"/>
  <c r="AD32" i="69" s="1"/>
  <c r="AO35" i="69"/>
  <c r="O36" i="69"/>
  <c r="R50" i="53"/>
  <c r="AY34" i="69"/>
  <c r="L51" i="57"/>
  <c r="AT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48" i="53" l="1"/>
  <c r="AB47" i="53"/>
  <c r="AC47" i="53" s="1"/>
  <c r="AH47" i="53" s="1"/>
  <c r="N51" i="53"/>
  <c r="AA48" i="53"/>
  <c r="AE48" i="53" s="1"/>
  <c r="AF48" i="53" s="1"/>
  <c r="X49" i="53"/>
  <c r="O50" i="53"/>
  <c r="AG50" i="53" s="1"/>
  <c r="AG33" i="69"/>
  <c r="AB34" i="69"/>
  <c r="AC34" i="69" s="1"/>
  <c r="AD34" i="69" s="1"/>
  <c r="AG51" i="57"/>
  <c r="X49" i="57"/>
  <c r="AB49" i="57" s="1"/>
  <c r="AP36" i="69"/>
  <c r="N36" i="69"/>
  <c r="U36" i="69" s="1"/>
  <c r="AF48" i="57"/>
  <c r="AA48" i="57"/>
  <c r="AE50" i="57"/>
  <c r="AQ50" i="57"/>
  <c r="AJ50" i="57"/>
  <c r="R50" i="57"/>
  <c r="Q50" i="57"/>
  <c r="T50" i="57" s="1"/>
  <c r="AD50" i="57"/>
  <c r="AC50" i="57"/>
  <c r="M51" i="57"/>
  <c r="AK51" i="57" s="1"/>
  <c r="AF35" i="69"/>
  <c r="Q35" i="69"/>
  <c r="O52" i="57"/>
  <c r="P52" i="57"/>
  <c r="O37" i="69"/>
  <c r="AO36" i="69"/>
  <c r="AG34" i="69"/>
  <c r="R51" i="53"/>
  <c r="AY35" i="69"/>
  <c r="L52" i="57"/>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AB48" i="53" l="1"/>
  <c r="AC48" i="53" s="1"/>
  <c r="AH48" i="53" s="1"/>
  <c r="N52" i="53"/>
  <c r="AA49" i="53"/>
  <c r="AE49" i="53" s="1"/>
  <c r="AF49" i="53" s="1"/>
  <c r="X50" i="53"/>
  <c r="O51" i="53"/>
  <c r="AG51" i="53" s="1"/>
  <c r="X50" i="57"/>
  <c r="AF50" i="57" s="1"/>
  <c r="AG52" i="57"/>
  <c r="AP37" i="69"/>
  <c r="N37" i="69"/>
  <c r="U37" i="69" s="1"/>
  <c r="AA49" i="57"/>
  <c r="AF49" i="57"/>
  <c r="Q51" i="57"/>
  <c r="T51" i="57" s="1"/>
  <c r="AD51" i="57"/>
  <c r="AC51" i="57"/>
  <c r="AE51" i="57"/>
  <c r="AQ51" i="57"/>
  <c r="AJ51" i="57"/>
  <c r="R51" i="57"/>
  <c r="M52" i="57"/>
  <c r="AK52" i="57" s="1"/>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R52" i="53"/>
  <c r="AY36" i="69"/>
  <c r="L53" i="57"/>
  <c r="AT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AB49" i="53" l="1"/>
  <c r="AC49" i="53" s="1"/>
  <c r="AH49" i="53" s="1"/>
  <c r="AD53" i="53"/>
  <c r="AA50" i="53"/>
  <c r="AE50" i="53" s="1"/>
  <c r="AF50" i="53" s="1"/>
  <c r="X51" i="53"/>
  <c r="O52" i="53"/>
  <c r="AG52" i="53" s="1"/>
  <c r="Y116" i="59"/>
  <c r="AY116" i="59"/>
  <c r="X51" i="57"/>
  <c r="AB51" i="57" s="1"/>
  <c r="AG53" i="57"/>
  <c r="AC52" i="57"/>
  <c r="AP38" i="69"/>
  <c r="N38" i="69"/>
  <c r="U38" i="69" s="1"/>
  <c r="AQ52" i="57"/>
  <c r="AE52" i="57"/>
  <c r="AD52" i="57"/>
  <c r="Q52" i="57"/>
  <c r="T52" i="57" s="1"/>
  <c r="AJ52" i="57"/>
  <c r="R52" i="57"/>
  <c r="AB50" i="57"/>
  <c r="AA50" i="57"/>
  <c r="M53" i="57"/>
  <c r="AK53" i="57" s="1"/>
  <c r="AF37" i="69"/>
  <c r="Q37" i="69"/>
  <c r="O54" i="57"/>
  <c r="P54" i="57"/>
  <c r="AC35" i="69"/>
  <c r="AD35" i="69" s="1"/>
  <c r="AB36" i="69"/>
  <c r="AG36" i="69"/>
  <c r="O39" i="69"/>
  <c r="AO38" i="69"/>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N54" i="57"/>
  <c r="L54" i="53"/>
  <c r="AH37" i="69"/>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H132" i="22" s="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AT53" i="53" l="1"/>
  <c r="R53" i="53"/>
  <c r="AB50" i="53"/>
  <c r="AC50" i="53" s="1"/>
  <c r="AH50" i="53" s="1"/>
  <c r="Q53" i="53"/>
  <c r="N54" i="53"/>
  <c r="X52" i="53"/>
  <c r="AA51" i="53"/>
  <c r="AE51" i="53" s="1"/>
  <c r="AF51" i="53" s="1"/>
  <c r="N53" i="53"/>
  <c r="X52" i="57"/>
  <c r="AB52" i="57" s="1"/>
  <c r="AG54" i="57"/>
  <c r="AP39" i="69"/>
  <c r="N39" i="69"/>
  <c r="U39" i="69" s="1"/>
  <c r="AE53" i="57"/>
  <c r="AF51" i="57"/>
  <c r="AQ53" i="57"/>
  <c r="AD53" i="57"/>
  <c r="AJ53" i="57"/>
  <c r="AA51" i="57"/>
  <c r="Q53" i="57"/>
  <c r="T53" i="57" s="1"/>
  <c r="AC53" i="57"/>
  <c r="R53" i="57"/>
  <c r="M54" i="57"/>
  <c r="AK54" i="57" s="1"/>
  <c r="H135" i="22"/>
  <c r="AF38" i="69"/>
  <c r="Q38" i="69"/>
  <c r="O55" i="57"/>
  <c r="P55" i="57"/>
  <c r="AC36" i="69"/>
  <c r="AD36" i="69" s="1"/>
  <c r="AB37" i="69"/>
  <c r="AG37" i="69"/>
  <c r="O40" i="69"/>
  <c r="AO39" i="69"/>
  <c r="R54" i="53"/>
  <c r="H112" i="22"/>
  <c r="H105" i="22"/>
  <c r="H107" i="22"/>
  <c r="H111" i="22"/>
  <c r="H118" i="22"/>
  <c r="V113" i="22"/>
  <c r="V116" i="22"/>
  <c r="V106" i="22"/>
  <c r="V103" i="22"/>
  <c r="H106" i="22"/>
  <c r="AY38" i="69"/>
  <c r="L55" i="57"/>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O53" i="53" l="1"/>
  <c r="X53" i="53" s="1"/>
  <c r="AB51" i="53"/>
  <c r="AC51" i="53" s="1"/>
  <c r="AH51" i="53" s="1"/>
  <c r="O54" i="53"/>
  <c r="AG54" i="53" s="1"/>
  <c r="AA52" i="53"/>
  <c r="AE52" i="53" s="1"/>
  <c r="AF52" i="53" s="1"/>
  <c r="X53" i="57"/>
  <c r="AB53" i="57" s="1"/>
  <c r="AG55" i="57"/>
  <c r="AP40" i="69"/>
  <c r="N40" i="69"/>
  <c r="U40" i="69" s="1"/>
  <c r="AF52" i="57"/>
  <c r="AA52" i="57"/>
  <c r="AJ54" i="57"/>
  <c r="AE54" i="57"/>
  <c r="R54" i="57"/>
  <c r="Q54" i="57"/>
  <c r="T54" i="57" s="1"/>
  <c r="AD54" i="57"/>
  <c r="AQ54" i="57"/>
  <c r="AC54" i="57"/>
  <c r="M55" i="57"/>
  <c r="AK55" i="57" s="1"/>
  <c r="AF39" i="69"/>
  <c r="Q39" i="69"/>
  <c r="O56" i="57"/>
  <c r="P56" i="57"/>
  <c r="AC37" i="69"/>
  <c r="AD37" i="69" s="1"/>
  <c r="AB38" i="69"/>
  <c r="AG38" i="69"/>
  <c r="O41" i="69"/>
  <c r="AO40" i="69"/>
  <c r="AY39" i="69"/>
  <c r="L56" i="57"/>
  <c r="N56" i="57"/>
  <c r="F56" i="53"/>
  <c r="AH39" i="69"/>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AG53" i="53" l="1"/>
  <c r="AB52" i="53"/>
  <c r="AC52" i="53" s="1"/>
  <c r="AH52" i="53" s="1"/>
  <c r="R55" i="53"/>
  <c r="Q56" i="53"/>
  <c r="Q55" i="53"/>
  <c r="AD55" i="53"/>
  <c r="X54" i="53"/>
  <c r="AA53" i="53"/>
  <c r="AE53" i="53" s="1"/>
  <c r="AF53" i="53" s="1"/>
  <c r="AT55" i="53"/>
  <c r="N55" i="53"/>
  <c r="X54" i="57"/>
  <c r="AB54" i="57" s="1"/>
  <c r="AG56" i="57"/>
  <c r="AP41" i="69"/>
  <c r="N41" i="69"/>
  <c r="U41" i="69" s="1"/>
  <c r="AF53" i="57"/>
  <c r="AA53" i="57"/>
  <c r="AE55" i="57"/>
  <c r="AQ55" i="57"/>
  <c r="AD55" i="57"/>
  <c r="AJ55" i="57"/>
  <c r="R55" i="57"/>
  <c r="Q55" i="57"/>
  <c r="T55" i="57" s="1"/>
  <c r="AC55" i="57"/>
  <c r="M56" i="57"/>
  <c r="AK56" i="57" s="1"/>
  <c r="AF40" i="69"/>
  <c r="Q40" i="69"/>
  <c r="O57" i="57"/>
  <c r="P57" i="57"/>
  <c r="AC38" i="69"/>
  <c r="AD38" i="69" s="1"/>
  <c r="AB39" i="69"/>
  <c r="AG39" i="69"/>
  <c r="AO41" i="69"/>
  <c r="O42" i="69"/>
  <c r="AY40" i="69"/>
  <c r="L57" i="57"/>
  <c r="N57" i="57"/>
  <c r="C57" i="53"/>
  <c r="M57" i="53" s="1"/>
  <c r="AH40" i="69"/>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AT56" i="53" l="1"/>
  <c r="R56" i="53"/>
  <c r="AB53" i="53"/>
  <c r="AC53" i="53" s="1"/>
  <c r="AH53" i="53" s="1"/>
  <c r="AD56" i="53"/>
  <c r="O55" i="53"/>
  <c r="X55" i="53" s="1"/>
  <c r="N56" i="53"/>
  <c r="AA54" i="53"/>
  <c r="AE54" i="53" s="1"/>
  <c r="AF54" i="53" s="1"/>
  <c r="N57" i="53"/>
  <c r="X55" i="57"/>
  <c r="AB55" i="57" s="1"/>
  <c r="AG57" i="57"/>
  <c r="AP42" i="69"/>
  <c r="N42" i="69"/>
  <c r="U42" i="69" s="1"/>
  <c r="AF54" i="57"/>
  <c r="AA54" i="57"/>
  <c r="AQ56" i="57"/>
  <c r="AC56" i="57"/>
  <c r="AE56" i="57"/>
  <c r="Q56" i="57"/>
  <c r="T56" i="57" s="1"/>
  <c r="AD56" i="57"/>
  <c r="AJ56" i="57"/>
  <c r="R56" i="57"/>
  <c r="M57" i="57"/>
  <c r="AK57" i="57" s="1"/>
  <c r="AF41" i="69"/>
  <c r="Q41" i="69"/>
  <c r="O58" i="57"/>
  <c r="P58" i="57"/>
  <c r="AC39" i="69"/>
  <c r="AD39" i="69" s="1"/>
  <c r="AB40" i="69"/>
  <c r="AG40" i="69"/>
  <c r="O43" i="69"/>
  <c r="AO42" i="69"/>
  <c r="R57" i="53"/>
  <c r="AY41" i="69"/>
  <c r="L58" i="57"/>
  <c r="AT57" i="53"/>
  <c r="N58" i="57"/>
  <c r="AH41" i="69"/>
  <c r="AD57" i="53"/>
  <c r="Q57" i="53"/>
  <c r="K58" i="53"/>
  <c r="P58" i="53"/>
  <c r="I58" i="53"/>
  <c r="E58" i="53"/>
  <c r="H58" i="53"/>
  <c r="AK57" i="52" a="1"/>
  <c r="AK57" i="52" s="1"/>
  <c r="B59" i="53" s="1"/>
  <c r="J58" i="53"/>
  <c r="D58" i="53"/>
  <c r="L58" i="53"/>
  <c r="C58" i="53"/>
  <c r="M58" i="53" s="1"/>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O56" i="53" l="1"/>
  <c r="X56" i="53" s="1"/>
  <c r="AG55" i="53"/>
  <c r="AB54" i="53"/>
  <c r="AC54" i="53" s="1"/>
  <c r="AH54" i="53" s="1"/>
  <c r="N58" i="53"/>
  <c r="AA55" i="53"/>
  <c r="AE55" i="53" s="1"/>
  <c r="AF55" i="53" s="1"/>
  <c r="O57" i="53"/>
  <c r="AG57" i="53" s="1"/>
  <c r="X56" i="57"/>
  <c r="AB56" i="57" s="1"/>
  <c r="AG58" i="57"/>
  <c r="AP43" i="69"/>
  <c r="N43" i="69"/>
  <c r="U43" i="69" s="1"/>
  <c r="AF55" i="57"/>
  <c r="AA55" i="57"/>
  <c r="AQ57" i="57"/>
  <c r="AJ57" i="57"/>
  <c r="R57" i="57"/>
  <c r="Q57" i="57"/>
  <c r="T57" i="57" s="1"/>
  <c r="AD57" i="57"/>
  <c r="AE57" i="57"/>
  <c r="AC57" i="57"/>
  <c r="M58" i="57"/>
  <c r="AK58" i="57" s="1"/>
  <c r="AF42" i="69"/>
  <c r="Q42" i="69"/>
  <c r="O59" i="57"/>
  <c r="P59" i="57"/>
  <c r="AC40" i="69"/>
  <c r="AD40" i="69" s="1"/>
  <c r="AB41" i="69"/>
  <c r="AG41" i="69"/>
  <c r="O44" i="69"/>
  <c r="AO43" i="69"/>
  <c r="R58" i="53"/>
  <c r="AY42" i="69"/>
  <c r="L59" i="57"/>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AG56" i="53" l="1"/>
  <c r="AB55" i="53"/>
  <c r="AC55" i="53" s="1"/>
  <c r="AH55" i="53" s="1"/>
  <c r="O58" i="53"/>
  <c r="AG58" i="53" s="1"/>
  <c r="X57" i="53"/>
  <c r="N59" i="53"/>
  <c r="AA56" i="53"/>
  <c r="AE56" i="53" s="1"/>
  <c r="AF56" i="53" s="1"/>
  <c r="X57" i="57"/>
  <c r="AB57" i="57" s="1"/>
  <c r="AG59" i="57"/>
  <c r="AQ58" i="57"/>
  <c r="AP44" i="69"/>
  <c r="N44" i="69"/>
  <c r="U44" i="69" s="1"/>
  <c r="AA56" i="57"/>
  <c r="AF56" i="57"/>
  <c r="AJ58" i="57"/>
  <c r="Q58" i="57"/>
  <c r="T58" i="57" s="1"/>
  <c r="AC58" i="57"/>
  <c r="AD58" i="57"/>
  <c r="AE58" i="57"/>
  <c r="R58" i="57"/>
  <c r="M59" i="57"/>
  <c r="AK59" i="57" s="1"/>
  <c r="AF43" i="69"/>
  <c r="Q43" i="69"/>
  <c r="O60" i="57"/>
  <c r="P60" i="57"/>
  <c r="AC41" i="69"/>
  <c r="AD41" i="69" s="1"/>
  <c r="AB42" i="69"/>
  <c r="AG42" i="69"/>
  <c r="AO44" i="69"/>
  <c r="O45" i="69"/>
  <c r="R59" i="53"/>
  <c r="AY43" i="69"/>
  <c r="L60" i="57"/>
  <c r="AT59" i="53"/>
  <c r="N60" i="57"/>
  <c r="AH43" i="69"/>
  <c r="Q59" i="53"/>
  <c r="AD59" i="53"/>
  <c r="J60" i="53"/>
  <c r="K60" i="53"/>
  <c r="E60" i="53"/>
  <c r="F60" i="53"/>
  <c r="P60" i="53"/>
  <c r="I60" i="53"/>
  <c r="L60" i="53"/>
  <c r="C60" i="53"/>
  <c r="M60" i="53" s="1"/>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56" i="53" l="1"/>
  <c r="AC56" i="53" s="1"/>
  <c r="AH56" i="53" s="1"/>
  <c r="X58" i="53"/>
  <c r="AA58" i="53" s="1"/>
  <c r="AE58" i="53" s="1"/>
  <c r="AF58" i="53" s="1"/>
  <c r="O59" i="53"/>
  <c r="AG59" i="53" s="1"/>
  <c r="N60" i="53"/>
  <c r="AA57" i="53"/>
  <c r="AE57" i="53" s="1"/>
  <c r="AF57" i="53" s="1"/>
  <c r="AB43" i="69"/>
  <c r="AC43" i="69" s="1"/>
  <c r="AD43" i="69" s="1"/>
  <c r="AG60" i="57"/>
  <c r="X58" i="57"/>
  <c r="AB58" i="57" s="1"/>
  <c r="Q59" i="57"/>
  <c r="T59" i="57" s="1"/>
  <c r="AP45" i="69"/>
  <c r="N45" i="69"/>
  <c r="U45" i="69" s="1"/>
  <c r="AQ59" i="57"/>
  <c r="AJ59" i="57"/>
  <c r="R59" i="57"/>
  <c r="AF57" i="57"/>
  <c r="AA57" i="57"/>
  <c r="AD59" i="57"/>
  <c r="AC59" i="57"/>
  <c r="AE59" i="57"/>
  <c r="M60" i="57"/>
  <c r="AK60" i="57" s="1"/>
  <c r="AF44" i="69"/>
  <c r="Q44" i="69"/>
  <c r="O61" i="57"/>
  <c r="P61" i="57"/>
  <c r="AC42" i="69"/>
  <c r="AD42" i="69" s="1"/>
  <c r="O46" i="69"/>
  <c r="AO45" i="69"/>
  <c r="AG43" i="69"/>
  <c r="R60" i="53"/>
  <c r="AY44" i="69"/>
  <c r="L61" i="57"/>
  <c r="AT60" i="53"/>
  <c r="N61" i="57"/>
  <c r="AH44" i="69"/>
  <c r="AD60" i="53"/>
  <c r="Q60" i="53"/>
  <c r="AK60" i="52" a="1"/>
  <c r="AK60" i="52" s="1"/>
  <c r="B62" i="53" s="1"/>
  <c r="H61" i="53"/>
  <c r="F61" i="53"/>
  <c r="I61" i="53"/>
  <c r="C61" i="53"/>
  <c r="M61" i="53" s="1"/>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AB57" i="53" l="1"/>
  <c r="AC57" i="53" s="1"/>
  <c r="AH57" i="53" s="1"/>
  <c r="O60" i="53"/>
  <c r="AG60" i="53" s="1"/>
  <c r="AB58" i="53"/>
  <c r="AC58" i="53" s="1"/>
  <c r="AH58" i="53" s="1"/>
  <c r="N61" i="53"/>
  <c r="X59" i="53"/>
  <c r="X59" i="57"/>
  <c r="AB59" i="57" s="1"/>
  <c r="AG61" i="57"/>
  <c r="AP46" i="69"/>
  <c r="N46" i="69"/>
  <c r="U46" i="69" s="1"/>
  <c r="AQ60" i="57"/>
  <c r="AE60" i="57"/>
  <c r="AA58" i="57"/>
  <c r="AF58" i="57"/>
  <c r="AD60" i="57"/>
  <c r="Q60" i="57"/>
  <c r="T60" i="57" s="1"/>
  <c r="AJ60" i="57"/>
  <c r="R60" i="57"/>
  <c r="AC60" i="57"/>
  <c r="M61" i="57"/>
  <c r="AK61" i="57" s="1"/>
  <c r="AF45" i="69"/>
  <c r="Q45" i="69"/>
  <c r="O62" i="57"/>
  <c r="P62" i="57"/>
  <c r="AB44" i="69"/>
  <c r="AG44" i="69"/>
  <c r="O47" i="69"/>
  <c r="AO46" i="69"/>
  <c r="R61" i="53"/>
  <c r="AY45" i="69"/>
  <c r="L62" i="57"/>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3" l="1"/>
  <c r="N62" i="53"/>
  <c r="AA59" i="53"/>
  <c r="AE59" i="53" s="1"/>
  <c r="AF59" i="53" s="1"/>
  <c r="O61" i="53"/>
  <c r="AG61" i="53" s="1"/>
  <c r="X60" i="57"/>
  <c r="AB60" i="57" s="1"/>
  <c r="AG62" i="57"/>
  <c r="AF59" i="57"/>
  <c r="AA59" i="57"/>
  <c r="AD61" i="57"/>
  <c r="AP47" i="69"/>
  <c r="N47" i="69"/>
  <c r="U47" i="69" s="1"/>
  <c r="AJ61" i="57"/>
  <c r="R61" i="57"/>
  <c r="AQ61" i="57"/>
  <c r="Q61" i="57"/>
  <c r="T61" i="57" s="1"/>
  <c r="AE61" i="57"/>
  <c r="AC61" i="57"/>
  <c r="M62" i="57"/>
  <c r="AK62" i="57" s="1"/>
  <c r="AF46" i="69"/>
  <c r="Q46" i="69"/>
  <c r="O63" i="57"/>
  <c r="P63" i="57"/>
  <c r="AC44" i="69"/>
  <c r="AD44" i="69" s="1"/>
  <c r="AB45" i="69"/>
  <c r="AG45" i="69"/>
  <c r="AO47" i="69"/>
  <c r="O48" i="69"/>
  <c r="R62" i="53"/>
  <c r="AY46" i="69"/>
  <c r="L63" i="57"/>
  <c r="AT62" i="53"/>
  <c r="N63" i="57"/>
  <c r="P63" i="53"/>
  <c r="AH46" i="69"/>
  <c r="Q62" i="53"/>
  <c r="AD62" i="53"/>
  <c r="AK62" i="52" a="1"/>
  <c r="AK62" i="52" s="1"/>
  <c r="B64" i="53" s="1"/>
  <c r="J63" i="53"/>
  <c r="I63" i="53"/>
  <c r="C63" i="53"/>
  <c r="M63" i="53" s="1"/>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AB59" i="53" l="1"/>
  <c r="AC59" i="53" s="1"/>
  <c r="AH59" i="53" s="1"/>
  <c r="AA60" i="53"/>
  <c r="AE60" i="53" s="1"/>
  <c r="AF60" i="53" s="1"/>
  <c r="N63" i="53"/>
  <c r="X61" i="53"/>
  <c r="O62" i="53"/>
  <c r="AG62" i="53" s="1"/>
  <c r="X61" i="57"/>
  <c r="AB61" i="57" s="1"/>
  <c r="AG63" i="57"/>
  <c r="AP48" i="69"/>
  <c r="N48" i="69"/>
  <c r="U48" i="69" s="1"/>
  <c r="Q62" i="57"/>
  <c r="T62" i="57" s="1"/>
  <c r="AC62" i="57"/>
  <c r="AF60" i="57"/>
  <c r="AA60" i="57"/>
  <c r="AE62" i="57"/>
  <c r="AQ62" i="57"/>
  <c r="AD62" i="57"/>
  <c r="AJ62" i="57"/>
  <c r="R62" i="57"/>
  <c r="M63" i="57"/>
  <c r="AK63" i="57" s="1"/>
  <c r="AF47" i="69"/>
  <c r="Q47" i="69"/>
  <c r="O64" i="57"/>
  <c r="P64" i="57"/>
  <c r="AC45" i="69"/>
  <c r="AD45" i="69" s="1"/>
  <c r="AB46" i="69"/>
  <c r="AG46" i="69"/>
  <c r="AO48" i="69"/>
  <c r="O49" i="69"/>
  <c r="R63" i="53"/>
  <c r="AY47" i="69"/>
  <c r="L64" i="57"/>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AB60" i="53" l="1"/>
  <c r="AC60" i="53" s="1"/>
  <c r="AH60" i="53" s="1"/>
  <c r="N64" i="53"/>
  <c r="AA61" i="53"/>
  <c r="AE61" i="53" s="1"/>
  <c r="AF61" i="53" s="1"/>
  <c r="X62" i="53"/>
  <c r="O63" i="53"/>
  <c r="AG63" i="53" s="1"/>
  <c r="X90" i="22"/>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F84"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F61"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F31" i="22"/>
  <c r="X31" i="22"/>
  <c r="T31" i="22"/>
  <c r="T23" i="22"/>
  <c r="X23" i="22"/>
  <c r="T7" i="22"/>
  <c r="X7" i="22"/>
  <c r="T97" i="22"/>
  <c r="X97" i="22"/>
  <c r="AG64" i="57"/>
  <c r="X62" i="57"/>
  <c r="AB62" i="57" s="1"/>
  <c r="AP49" i="69"/>
  <c r="N49" i="69"/>
  <c r="U49" i="69" s="1"/>
  <c r="AA61" i="57"/>
  <c r="AF61" i="57"/>
  <c r="AQ63" i="57"/>
  <c r="AC63" i="57"/>
  <c r="AD63" i="57"/>
  <c r="AE63" i="57"/>
  <c r="Q63" i="57"/>
  <c r="T63" i="57" s="1"/>
  <c r="AJ63" i="57"/>
  <c r="R63" i="57"/>
  <c r="M64" i="57"/>
  <c r="AK64" i="57" s="1"/>
  <c r="AW151" i="22"/>
  <c r="AW80" i="22"/>
  <c r="AW134" i="22"/>
  <c r="S4" i="22"/>
  <c r="AF48" i="69"/>
  <c r="Q48" i="69"/>
  <c r="O65" i="57"/>
  <c r="P65" i="57"/>
  <c r="AC46" i="69"/>
  <c r="AD46" i="69" s="1"/>
  <c r="AB47" i="69"/>
  <c r="AG47" i="69"/>
  <c r="O50" i="69"/>
  <c r="AO49" i="69"/>
  <c r="U4" i="22"/>
  <c r="R64" i="53"/>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Q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B61" i="53" l="1"/>
  <c r="AC61" i="53" s="1"/>
  <c r="AH61" i="53" s="1"/>
  <c r="AT65" i="53"/>
  <c r="AA62" i="53"/>
  <c r="AE62" i="53" s="1"/>
  <c r="AF62" i="53" s="1"/>
  <c r="X63" i="53"/>
  <c r="O64" i="53"/>
  <c r="AG64" i="53" s="1"/>
  <c r="AK17" i="22"/>
  <c r="C53" i="36" s="1"/>
  <c r="C92" i="36" s="1"/>
  <c r="AW105" i="22"/>
  <c r="AK26" i="22"/>
  <c r="AK9" i="22"/>
  <c r="X63" i="57"/>
  <c r="AB63" i="57" s="1"/>
  <c r="AG65" i="57"/>
  <c r="AP50" i="69"/>
  <c r="N50" i="69"/>
  <c r="U50" i="69" s="1"/>
  <c r="AF62" i="57"/>
  <c r="AA62" i="57"/>
  <c r="AD64" i="57"/>
  <c r="AQ64" i="57"/>
  <c r="AJ64" i="57"/>
  <c r="Q64" i="57"/>
  <c r="T64" i="57" s="1"/>
  <c r="R64" i="57"/>
  <c r="AE64" i="57"/>
  <c r="AC64" i="57"/>
  <c r="M65" i="57"/>
  <c r="AK65" i="57" s="1"/>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N66" i="57"/>
  <c r="P66" i="53"/>
  <c r="AH49" i="69"/>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O219" i="46"/>
  <c r="S219" i="46" s="1"/>
  <c r="T219" i="46" s="1"/>
  <c r="O187" i="46"/>
  <c r="S187" i="46" s="1"/>
  <c r="T187" i="46" s="1"/>
  <c r="O155" i="46"/>
  <c r="S155" i="46" s="1"/>
  <c r="T155" i="46" s="1"/>
  <c r="O123" i="46"/>
  <c r="S123" i="46" s="1"/>
  <c r="T123" i="46" s="1"/>
  <c r="O81" i="46"/>
  <c r="S81" i="46" s="1"/>
  <c r="T81" i="46" s="1"/>
  <c r="O28" i="46"/>
  <c r="O247" i="46"/>
  <c r="S247" i="46" s="1"/>
  <c r="T247" i="46" s="1"/>
  <c r="O184" i="46"/>
  <c r="S184" i="46" s="1"/>
  <c r="T184" i="46" s="1"/>
  <c r="O120" i="46"/>
  <c r="S120" i="46" s="1"/>
  <c r="T120" i="46" s="1"/>
  <c r="O25" i="46"/>
  <c r="R25" i="46" s="1"/>
  <c r="O224" i="46"/>
  <c r="S224" i="46" s="1"/>
  <c r="T224" i="46" s="1"/>
  <c r="O33" i="46"/>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R24" i="46" s="1"/>
  <c r="O112" i="46"/>
  <c r="S112" i="46" s="1"/>
  <c r="T112" i="46" s="1"/>
  <c r="O32" i="46"/>
  <c r="O64" i="46"/>
  <c r="S64" i="46" s="1"/>
  <c r="T64" i="46" s="1"/>
  <c r="O164" i="46"/>
  <c r="S164" i="46" s="1"/>
  <c r="T164" i="46" s="1"/>
  <c r="O42" i="46"/>
  <c r="S42" i="46" s="1"/>
  <c r="T42" i="46" s="1"/>
  <c r="O195" i="46"/>
  <c r="S195" i="46" s="1"/>
  <c r="T195" i="46" s="1"/>
  <c r="O131" i="46"/>
  <c r="S131" i="46" s="1"/>
  <c r="T131" i="46" s="1"/>
  <c r="O36" i="46"/>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O233" i="46"/>
  <c r="S233" i="46" s="1"/>
  <c r="T233" i="46" s="1"/>
  <c r="O50" i="46"/>
  <c r="S50" i="46" s="1"/>
  <c r="T50" i="46" s="1"/>
  <c r="O145" i="46"/>
  <c r="S145" i="46" s="1"/>
  <c r="T145" i="46" s="1"/>
  <c r="O37" i="46"/>
  <c r="S37" i="46" s="1"/>
  <c r="T37" i="46" s="1"/>
  <c r="O190" i="46"/>
  <c r="S190" i="46" s="1"/>
  <c r="T190" i="46" s="1"/>
  <c r="O126" i="46"/>
  <c r="S126" i="46" s="1"/>
  <c r="T126" i="46" s="1"/>
  <c r="O31" i="46"/>
  <c r="O189" i="46"/>
  <c r="S189" i="46" s="1"/>
  <c r="T189" i="46" s="1"/>
  <c r="O30" i="46"/>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R18" i="46" s="1"/>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65" i="53" l="1"/>
  <c r="AD65" i="53"/>
  <c r="Q65" i="53"/>
  <c r="AB62" i="53"/>
  <c r="AC62" i="53" s="1"/>
  <c r="AH62" i="53" s="1"/>
  <c r="AD66" i="53"/>
  <c r="X64" i="53"/>
  <c r="AA63" i="53"/>
  <c r="AE63" i="53" s="1"/>
  <c r="AF63" i="53" s="1"/>
  <c r="N65" i="53"/>
  <c r="S34" i="46"/>
  <c r="T34" i="46" s="1"/>
  <c r="W34" i="46"/>
  <c r="X34" i="46" s="1"/>
  <c r="R32" i="46"/>
  <c r="V32" i="46" s="1"/>
  <c r="W32" i="46" s="1"/>
  <c r="X32" i="46" s="1"/>
  <c r="R17" i="46"/>
  <c r="R26" i="46"/>
  <c r="V26" i="46" s="1"/>
  <c r="W26" i="46" s="1"/>
  <c r="X26" i="46" s="1"/>
  <c r="R27" i="46"/>
  <c r="V27" i="46" s="1"/>
  <c r="W27" i="46" s="1"/>
  <c r="X27" i="46" s="1"/>
  <c r="R29" i="46"/>
  <c r="V29" i="46" s="1"/>
  <c r="W29" i="46" s="1"/>
  <c r="X29" i="46" s="1"/>
  <c r="S33" i="46"/>
  <c r="T33" i="46" s="1"/>
  <c r="W33" i="46"/>
  <c r="X33" i="46" s="1"/>
  <c r="R12" i="46"/>
  <c r="R30" i="46"/>
  <c r="V30" i="46" s="1"/>
  <c r="W30" i="46" s="1"/>
  <c r="X30" i="46" s="1"/>
  <c r="R36" i="46"/>
  <c r="V36" i="46" s="1"/>
  <c r="W36" i="46" s="1"/>
  <c r="X36" i="46" s="1"/>
  <c r="R31" i="46"/>
  <c r="V31" i="46" s="1"/>
  <c r="W31" i="46" s="1"/>
  <c r="X31" i="46" s="1"/>
  <c r="S28" i="46"/>
  <c r="T28" i="46" s="1"/>
  <c r="R28" i="46"/>
  <c r="V28" i="46" s="1"/>
  <c r="W28" i="46" s="1"/>
  <c r="X28" i="46" s="1"/>
  <c r="S35" i="46"/>
  <c r="T35" i="46" s="1"/>
  <c r="W35" i="46"/>
  <c r="X35" i="46" s="1"/>
  <c r="R16" i="71"/>
  <c r="V16" i="71" s="1"/>
  <c r="W16" i="71" s="1"/>
  <c r="X16" i="71" s="1"/>
  <c r="R15" i="71"/>
  <c r="V15" i="71" s="1"/>
  <c r="W15" i="71" s="1"/>
  <c r="X15" i="71" s="1"/>
  <c r="R14" i="71"/>
  <c r="V14" i="71" s="1"/>
  <c r="W14" i="71" s="1"/>
  <c r="X14" i="71" s="1"/>
  <c r="R13" i="71"/>
  <c r="V13" i="71" s="1"/>
  <c r="W13" i="71" s="1"/>
  <c r="X13" i="71" s="1"/>
  <c r="AG66" i="57"/>
  <c r="X64" i="57"/>
  <c r="AB64" i="57" s="1"/>
  <c r="AD65" i="57"/>
  <c r="AP51" i="69"/>
  <c r="N51" i="69"/>
  <c r="U51" i="69" s="1"/>
  <c r="P11" i="11"/>
  <c r="AJ65" i="57"/>
  <c r="AE65" i="57"/>
  <c r="AF63" i="57"/>
  <c r="AA63" i="57"/>
  <c r="Q65" i="57"/>
  <c r="T65" i="57" s="1"/>
  <c r="R65" i="57"/>
  <c r="AQ65" i="57"/>
  <c r="AC65" i="57"/>
  <c r="M66" i="57"/>
  <c r="AK66" i="57" s="1"/>
  <c r="C90" i="36"/>
  <c r="V25" i="46"/>
  <c r="V24" i="46"/>
  <c r="V23" i="46"/>
  <c r="V22" i="46"/>
  <c r="V21" i="46"/>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15"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N67" i="57"/>
  <c r="G67" i="53"/>
  <c r="AH50" i="69"/>
  <c r="D17" i="22"/>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O65" i="53" l="1"/>
  <c r="AG65" i="53" s="1"/>
  <c r="Q66" i="53"/>
  <c r="AT66" i="53"/>
  <c r="R66" i="53"/>
  <c r="AB63" i="53"/>
  <c r="AC63" i="53" s="1"/>
  <c r="AH63" i="53" s="1"/>
  <c r="N66" i="53"/>
  <c r="Q67" i="53"/>
  <c r="AA64" i="53"/>
  <c r="AE64" i="53" s="1"/>
  <c r="AF64" i="53" s="1"/>
  <c r="S30" i="46"/>
  <c r="T30" i="46" s="1"/>
  <c r="W17" i="46"/>
  <c r="X17" i="46" s="1"/>
  <c r="S29" i="46"/>
  <c r="T29" i="46" s="1"/>
  <c r="W18" i="46"/>
  <c r="X18" i="46" s="1"/>
  <c r="W19" i="46"/>
  <c r="X19" i="46" s="1"/>
  <c r="S27" i="46"/>
  <c r="T27" i="46" s="1"/>
  <c r="W20" i="46"/>
  <c r="X20" i="46" s="1"/>
  <c r="W21" i="46"/>
  <c r="X21" i="46" s="1"/>
  <c r="S26" i="46"/>
  <c r="T26" i="46" s="1"/>
  <c r="W22" i="46"/>
  <c r="X22" i="46" s="1"/>
  <c r="X23" i="46"/>
  <c r="W23" i="46"/>
  <c r="W24" i="46"/>
  <c r="X24" i="46" s="1"/>
  <c r="S31" i="46"/>
  <c r="T31" i="46" s="1"/>
  <c r="S32" i="46"/>
  <c r="T32" i="46" s="1"/>
  <c r="W25" i="46"/>
  <c r="X25" i="46" s="1"/>
  <c r="S36" i="46"/>
  <c r="T36" i="46" s="1"/>
  <c r="S13" i="71"/>
  <c r="S14" i="71"/>
  <c r="S16" i="71"/>
  <c r="T16" i="71" s="1"/>
  <c r="AB16" i="71" s="1"/>
  <c r="W15" i="46"/>
  <c r="X15" i="46" s="1"/>
  <c r="AC11" i="11"/>
  <c r="X65" i="57"/>
  <c r="AB65" i="57" s="1"/>
  <c r="AG67" i="57"/>
  <c r="AA64" i="57"/>
  <c r="AP52" i="69"/>
  <c r="N52" i="69"/>
  <c r="U52" i="69" s="1"/>
  <c r="AF64" i="57"/>
  <c r="R66" i="57"/>
  <c r="AQ66" i="57"/>
  <c r="AD66" i="57"/>
  <c r="AJ66" i="57"/>
  <c r="Q66" i="57"/>
  <c r="T66" i="57" s="1"/>
  <c r="AC66" i="57"/>
  <c r="AE66" i="57"/>
  <c r="M67" i="57"/>
  <c r="AK67" i="57" s="1"/>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13" i="71"/>
  <c r="AB13" i="71" s="1"/>
  <c r="X18" i="22" s="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Y210" i="46"/>
  <c r="AQ127" i="11"/>
  <c r="Y255" i="46"/>
  <c r="Y254" i="46"/>
  <c r="AY51" i="69"/>
  <c r="L68" i="57"/>
  <c r="N68" i="57"/>
  <c r="H68" i="53"/>
  <c r="AH51" i="69"/>
  <c r="C68" i="53"/>
  <c r="M68" i="53" s="1"/>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X65" i="53" l="1"/>
  <c r="AA65" i="53" s="1"/>
  <c r="AE65" i="53" s="1"/>
  <c r="AF65" i="53" s="1"/>
  <c r="O66" i="53"/>
  <c r="AG66" i="53" s="1"/>
  <c r="AB64" i="53"/>
  <c r="AC64" i="53" s="1"/>
  <c r="AH64" i="53" s="1"/>
  <c r="AT67" i="53"/>
  <c r="R67" i="53"/>
  <c r="AD67" i="53"/>
  <c r="N67" i="53"/>
  <c r="Q68" i="53"/>
  <c r="AB12" i="71"/>
  <c r="X135" i="22" s="1"/>
  <c r="W16" i="46"/>
  <c r="X16" i="46" s="1"/>
  <c r="Y16" i="46" s="1"/>
  <c r="L107" i="22" s="1"/>
  <c r="W14" i="46"/>
  <c r="X14" i="46" s="1"/>
  <c r="Y14" i="46" s="1"/>
  <c r="X32" i="22"/>
  <c r="X87" i="22"/>
  <c r="AD11" i="11"/>
  <c r="AG68" i="57"/>
  <c r="X66" i="57"/>
  <c r="AB66" i="57" s="1"/>
  <c r="AA65" i="57"/>
  <c r="AP53" i="69"/>
  <c r="N53" i="69"/>
  <c r="U53" i="69" s="1"/>
  <c r="Q67" i="57"/>
  <c r="T67" i="57" s="1"/>
  <c r="AF65" i="57"/>
  <c r="AD67" i="57"/>
  <c r="AE67" i="57"/>
  <c r="R67" i="57"/>
  <c r="AQ67" i="57"/>
  <c r="AJ67" i="57"/>
  <c r="AC67" i="57"/>
  <c r="M68" i="57"/>
  <c r="AC68" i="57" s="1"/>
  <c r="Z11" i="59"/>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Y32" i="46"/>
  <c r="Y17" i="46"/>
  <c r="L109" i="22" s="1"/>
  <c r="Y33" i="46"/>
  <c r="Y30" i="46"/>
  <c r="Y26" i="46"/>
  <c r="Y20" i="46"/>
  <c r="L106" i="22" s="1"/>
  <c r="Y29" i="46"/>
  <c r="Y36" i="46"/>
  <c r="Y27" i="46"/>
  <c r="Y28" i="46"/>
  <c r="Y34" i="46"/>
  <c r="Y35" i="46"/>
  <c r="Y19" i="46"/>
  <c r="Y25" i="46"/>
  <c r="Y22" i="46"/>
  <c r="L113" i="22" s="1"/>
  <c r="Y31" i="46"/>
  <c r="Y23" i="46"/>
  <c r="Y18" i="46"/>
  <c r="Y24" i="46"/>
  <c r="Y21" i="46"/>
  <c r="L115" i="22"/>
  <c r="L119" i="22"/>
  <c r="Y15" i="46"/>
  <c r="Y12" i="46"/>
  <c r="Y13" i="46"/>
  <c r="AY52" i="69"/>
  <c r="L69" i="57"/>
  <c r="N69" i="57"/>
  <c r="C69" i="53"/>
  <c r="AH52" i="69"/>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D68" i="53" l="1"/>
  <c r="X66" i="53"/>
  <c r="AA66" i="53" s="1"/>
  <c r="AE66" i="53" s="1"/>
  <c r="AF66" i="53" s="1"/>
  <c r="O67" i="53"/>
  <c r="X67" i="53" s="1"/>
  <c r="AB65" i="53"/>
  <c r="AC65" i="53" s="1"/>
  <c r="AH65" i="53" s="1"/>
  <c r="AT68" i="53"/>
  <c r="N69" i="53"/>
  <c r="R68" i="53"/>
  <c r="N68" i="53"/>
  <c r="AA66" i="57"/>
  <c r="AF66" i="57"/>
  <c r="AB52" i="69"/>
  <c r="AC52" i="69" s="1"/>
  <c r="AD52" i="69" s="1"/>
  <c r="AG69" i="57"/>
  <c r="X67" i="57"/>
  <c r="AB67" i="57" s="1"/>
  <c r="T30" i="22"/>
  <c r="AP54" i="69"/>
  <c r="N54" i="69"/>
  <c r="U54" i="69" s="1"/>
  <c r="R68" i="57"/>
  <c r="AQ68" i="57"/>
  <c r="AK68" i="57"/>
  <c r="AD68" i="57"/>
  <c r="AJ68" i="57"/>
  <c r="AE68" i="57"/>
  <c r="M69" i="57"/>
  <c r="AK69" i="57" s="1"/>
  <c r="Q68" i="57"/>
  <c r="T68" i="57" s="1"/>
  <c r="W11" i="71"/>
  <c r="X11" i="71" s="1"/>
  <c r="AB11" i="71" s="1"/>
  <c r="L103" i="22"/>
  <c r="AA27" i="71"/>
  <c r="AF53" i="69"/>
  <c r="Q53" i="69"/>
  <c r="O70" i="57"/>
  <c r="P70" i="57"/>
  <c r="AC51" i="69"/>
  <c r="AD51" i="69" s="1"/>
  <c r="AO54" i="69"/>
  <c r="AG52" i="69"/>
  <c r="O55" i="69"/>
  <c r="R69" i="53"/>
  <c r="AY53" i="69"/>
  <c r="L70" i="57"/>
  <c r="AA15" i="71"/>
  <c r="AT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AG67" i="53" l="1"/>
  <c r="AB66" i="53"/>
  <c r="AC66" i="53" s="1"/>
  <c r="AH66" i="53" s="1"/>
  <c r="O68" i="53"/>
  <c r="AG68" i="53" s="1"/>
  <c r="N70" i="53"/>
  <c r="AA67" i="53"/>
  <c r="AE67" i="53" s="1"/>
  <c r="AF67" i="53" s="1"/>
  <c r="O69" i="53"/>
  <c r="AG69" i="53" s="1"/>
  <c r="X76" i="22"/>
  <c r="X4" i="22"/>
  <c r="X20" i="22"/>
  <c r="X14" i="22"/>
  <c r="C8" i="107"/>
  <c r="Q12" i="59"/>
  <c r="T12" i="59"/>
  <c r="AB53" i="69"/>
  <c r="AC53" i="69" s="1"/>
  <c r="AD53" i="69" s="1"/>
  <c r="AG70" i="57"/>
  <c r="X68" i="57"/>
  <c r="AB68" i="57" s="1"/>
  <c r="AP55" i="69"/>
  <c r="N55" i="69"/>
  <c r="U55" i="69" s="1"/>
  <c r="AA67" i="57"/>
  <c r="AF67" i="57"/>
  <c r="AE69" i="57"/>
  <c r="AQ69" i="57"/>
  <c r="AD69" i="57"/>
  <c r="AJ69" i="57"/>
  <c r="Q69" i="57"/>
  <c r="T69" i="57" s="1"/>
  <c r="R69" i="57"/>
  <c r="AC69" i="57"/>
  <c r="M70" i="57"/>
  <c r="AK70" i="57" s="1"/>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R70" i="53"/>
  <c r="AH255" i="59"/>
  <c r="AH22" i="59"/>
  <c r="AH20" i="59"/>
  <c r="AH18" i="59"/>
  <c r="AY54" i="69"/>
  <c r="L71" i="57"/>
  <c r="Q70" i="53"/>
  <c r="AT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AB67" i="53" l="1"/>
  <c r="AC67" i="53" s="1"/>
  <c r="AH67" i="53" s="1"/>
  <c r="X68" i="53"/>
  <c r="AA68" i="53" s="1"/>
  <c r="AE68" i="53" s="1"/>
  <c r="AF68" i="53" s="1"/>
  <c r="N71" i="53"/>
  <c r="X69" i="53"/>
  <c r="O70" i="53"/>
  <c r="AG70" i="53" s="1"/>
  <c r="T55" i="22"/>
  <c r="AA12" i="59"/>
  <c r="Q13" i="59"/>
  <c r="T13" i="59"/>
  <c r="Q14" i="59"/>
  <c r="T14" i="59"/>
  <c r="Q15" i="59"/>
  <c r="T15" i="59"/>
  <c r="C11" i="107" s="1"/>
  <c r="AB54" i="69"/>
  <c r="AC54" i="69" s="1"/>
  <c r="AD54" i="69" s="1"/>
  <c r="X69" i="57"/>
  <c r="AB69" i="57" s="1"/>
  <c r="AG71" i="57"/>
  <c r="AP56" i="69"/>
  <c r="N56" i="69"/>
  <c r="U56" i="69" s="1"/>
  <c r="AF68" i="57"/>
  <c r="AA68" i="57"/>
  <c r="AJ70" i="57"/>
  <c r="R70" i="57"/>
  <c r="AC70" i="57"/>
  <c r="Q70" i="57"/>
  <c r="T70" i="57" s="1"/>
  <c r="AE70" i="57"/>
  <c r="AD70" i="57"/>
  <c r="AQ70" i="57"/>
  <c r="M71" i="57"/>
  <c r="AK71" i="57" s="1"/>
  <c r="AH230" i="59"/>
  <c r="AB257" i="71"/>
  <c r="X96" i="22"/>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R71" i="53"/>
  <c r="AU255" i="59"/>
  <c r="AH23" i="59"/>
  <c r="AH21" i="59"/>
  <c r="AH19" i="59"/>
  <c r="AH17" i="59"/>
  <c r="AH16" i="59"/>
  <c r="AY55" i="69"/>
  <c r="L72" i="57"/>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AB68" i="53" l="1"/>
  <c r="AC68" i="53" s="1"/>
  <c r="AH68" i="53" s="1"/>
  <c r="X70" i="53"/>
  <c r="N72" i="53"/>
  <c r="AA69" i="53"/>
  <c r="AE69" i="53" s="1"/>
  <c r="AF69" i="53" s="1"/>
  <c r="O71" i="53"/>
  <c r="AG71" i="53" s="1"/>
  <c r="T135" i="22"/>
  <c r="AA14" i="59"/>
  <c r="AA13" i="59"/>
  <c r="AU13" i="59" s="1"/>
  <c r="T8" i="22"/>
  <c r="AA15" i="59"/>
  <c r="AU15" i="59" s="1"/>
  <c r="X70" i="57"/>
  <c r="AB70" i="57" s="1"/>
  <c r="AG72" i="57"/>
  <c r="AP57" i="69"/>
  <c r="N57" i="69"/>
  <c r="U57" i="69" s="1"/>
  <c r="Q71" i="57"/>
  <c r="T71" i="57" s="1"/>
  <c r="R71" i="57"/>
  <c r="AD71" i="57"/>
  <c r="AF69" i="57"/>
  <c r="AA69" i="57"/>
  <c r="AQ71" i="57"/>
  <c r="AC71" i="57"/>
  <c r="AJ71" i="57"/>
  <c r="AE71" i="57"/>
  <c r="M72" i="57"/>
  <c r="AK72" i="57" s="1"/>
  <c r="T5" i="22"/>
  <c r="AU230" i="59"/>
  <c r="O13" i="50"/>
  <c r="T13" i="50"/>
  <c r="AU16" i="59"/>
  <c r="AU14" i="59"/>
  <c r="O12" i="50"/>
  <c r="AF56" i="69"/>
  <c r="Q56" i="69"/>
  <c r="O73" i="57"/>
  <c r="P73" i="57"/>
  <c r="AU32" i="59"/>
  <c r="AU43" i="59"/>
  <c r="AU44" i="59"/>
  <c r="AU52" i="59"/>
  <c r="AU51" i="59"/>
  <c r="AU46" i="59"/>
  <c r="AU49" i="59"/>
  <c r="AU41" i="59"/>
  <c r="AB55" i="69"/>
  <c r="AG55" i="69"/>
  <c r="AO57" i="69"/>
  <c r="O58" i="69"/>
  <c r="R72" i="53"/>
  <c r="AU12" i="59"/>
  <c r="AL30" i="22"/>
  <c r="AL32" i="22"/>
  <c r="AY56" i="69"/>
  <c r="L73" i="57"/>
  <c r="AT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AB69" i="53" l="1"/>
  <c r="AC69" i="53" s="1"/>
  <c r="AH69" i="53" s="1"/>
  <c r="N73" i="53"/>
  <c r="O72" i="53"/>
  <c r="AG72" i="53" s="1"/>
  <c r="AA70" i="53"/>
  <c r="AE70" i="53" s="1"/>
  <c r="AF70" i="53" s="1"/>
  <c r="X71" i="53"/>
  <c r="Y56" i="69"/>
  <c r="AB56" i="69" s="1"/>
  <c r="AC56" i="69" s="1"/>
  <c r="AD56" i="69" s="1"/>
  <c r="X71" i="57"/>
  <c r="AB71" i="57" s="1"/>
  <c r="AG73" i="57"/>
  <c r="AP58" i="69"/>
  <c r="N58" i="69"/>
  <c r="U58" i="69" s="1"/>
  <c r="AA70" i="57"/>
  <c r="AF70" i="57"/>
  <c r="AE72" i="57"/>
  <c r="Q72" i="57"/>
  <c r="T72" i="57" s="1"/>
  <c r="AQ72" i="57"/>
  <c r="R72" i="57"/>
  <c r="AD72" i="57"/>
  <c r="AJ72" i="57"/>
  <c r="AC72" i="57"/>
  <c r="M73" i="57"/>
  <c r="AK73" i="57" s="1"/>
  <c r="P12" i="50"/>
  <c r="P13" i="50"/>
  <c r="T14" i="50"/>
  <c r="O14" i="50"/>
  <c r="S13" i="50"/>
  <c r="S12" i="50"/>
  <c r="AF57" i="69"/>
  <c r="Q57" i="69"/>
  <c r="O74" i="57"/>
  <c r="P74" i="57"/>
  <c r="AL31" i="22"/>
  <c r="AC55" i="69"/>
  <c r="AD55" i="69" s="1"/>
  <c r="O59" i="69"/>
  <c r="AO58" i="69"/>
  <c r="R73" i="53"/>
  <c r="AY57" i="69"/>
  <c r="L74" i="57"/>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B70" i="53" l="1"/>
  <c r="AC70" i="53" s="1"/>
  <c r="AH70" i="53" s="1"/>
  <c r="AA71" i="53"/>
  <c r="AE71" i="53" s="1"/>
  <c r="AF71" i="53" s="1"/>
  <c r="N74" i="53"/>
  <c r="X72" i="53"/>
  <c r="O73" i="53"/>
  <c r="AG73" i="53" s="1"/>
  <c r="AG56" i="69"/>
  <c r="X72" i="57"/>
  <c r="AA72" i="57" s="1"/>
  <c r="AG74" i="57"/>
  <c r="AC73" i="57"/>
  <c r="AP59" i="69"/>
  <c r="N59" i="69"/>
  <c r="U59" i="69" s="1"/>
  <c r="AA71" i="57"/>
  <c r="AJ73" i="57"/>
  <c r="R73" i="57"/>
  <c r="Q73" i="57"/>
  <c r="T73" i="57" s="1"/>
  <c r="AD73" i="57"/>
  <c r="AF71" i="57"/>
  <c r="AD5" i="50"/>
  <c r="AQ73" i="57"/>
  <c r="AE73" i="57"/>
  <c r="M74" i="57"/>
  <c r="AK74" i="57" s="1"/>
  <c r="P14" i="50"/>
  <c r="Z13" i="50"/>
  <c r="T15" i="50"/>
  <c r="O15" i="50"/>
  <c r="AJ13" i="50"/>
  <c r="C13" i="50"/>
  <c r="S14" i="50"/>
  <c r="AJ12" i="50"/>
  <c r="Z12" i="50"/>
  <c r="W12" i="50"/>
  <c r="C12" i="50"/>
  <c r="W13" i="50"/>
  <c r="V12" i="50"/>
  <c r="V13" i="50"/>
  <c r="AF58" i="69"/>
  <c r="Q58" i="69"/>
  <c r="O75" i="57"/>
  <c r="P75" i="57"/>
  <c r="AB57" i="69"/>
  <c r="AG57" i="69"/>
  <c r="AO59" i="69"/>
  <c r="O60" i="69"/>
  <c r="R74" i="53"/>
  <c r="AY58" i="69"/>
  <c r="L75" i="57"/>
  <c r="AT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AB71" i="53" l="1"/>
  <c r="AC71" i="53" s="1"/>
  <c r="AH71" i="53" s="1"/>
  <c r="O74" i="53"/>
  <c r="AG74" i="53" s="1"/>
  <c r="AA72" i="53"/>
  <c r="AE72" i="53" s="1"/>
  <c r="AF72" i="53" s="1"/>
  <c r="X73" i="53"/>
  <c r="X73" i="57"/>
  <c r="AB73" i="57" s="1"/>
  <c r="Y58" i="69"/>
  <c r="AB58" i="69" s="1"/>
  <c r="AC58" i="69" s="1"/>
  <c r="AD58" i="69" s="1"/>
  <c r="AG75" i="57"/>
  <c r="AP60" i="69"/>
  <c r="N60" i="69"/>
  <c r="U60" i="69" s="1"/>
  <c r="AF72" i="57"/>
  <c r="AB72" i="57"/>
  <c r="AQ74" i="57"/>
  <c r="AD74" i="57"/>
  <c r="AJ74" i="57"/>
  <c r="R74" i="57"/>
  <c r="Q74" i="57"/>
  <c r="T74" i="57" s="1"/>
  <c r="AC74" i="57"/>
  <c r="AE74" i="57"/>
  <c r="M75" i="57"/>
  <c r="AK75" i="57" s="1"/>
  <c r="P15" i="50"/>
  <c r="O16" i="50"/>
  <c r="T16" i="50"/>
  <c r="C14" i="50"/>
  <c r="Z14" i="50"/>
  <c r="AJ14" i="50"/>
  <c r="S15" i="50"/>
  <c r="W14" i="50"/>
  <c r="X13" i="50"/>
  <c r="AD13" i="50" s="1"/>
  <c r="V14" i="50"/>
  <c r="AF59" i="69"/>
  <c r="Q59" i="69"/>
  <c r="O76" i="57"/>
  <c r="P76" i="57"/>
  <c r="AC57" i="69"/>
  <c r="AD57" i="69" s="1"/>
  <c r="AO60" i="69"/>
  <c r="O61" i="69"/>
  <c r="AY59" i="69"/>
  <c r="L76" i="57"/>
  <c r="N76" i="57"/>
  <c r="AH59" i="69"/>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B72" i="53" l="1"/>
  <c r="AC72" i="53" s="1"/>
  <c r="AH72" i="53" s="1"/>
  <c r="R75" i="53"/>
  <c r="X74" i="53"/>
  <c r="AA74" i="53" s="1"/>
  <c r="AE74" i="53" s="1"/>
  <c r="AF74" i="53" s="1"/>
  <c r="Q75" i="53"/>
  <c r="AD75" i="53"/>
  <c r="AT75" i="53"/>
  <c r="N75" i="53"/>
  <c r="AA73" i="53"/>
  <c r="AE73" i="53" s="1"/>
  <c r="AF73" i="53" s="1"/>
  <c r="AG58" i="69"/>
  <c r="X74" i="57"/>
  <c r="AA74" i="57" s="1"/>
  <c r="AG76" i="57"/>
  <c r="AA73" i="57"/>
  <c r="AP61" i="69"/>
  <c r="N61" i="69"/>
  <c r="U61" i="69" s="1"/>
  <c r="Q75" i="57"/>
  <c r="T75" i="57" s="1"/>
  <c r="AF73" i="57"/>
  <c r="AQ75" i="57"/>
  <c r="AJ75" i="57"/>
  <c r="R75" i="57"/>
  <c r="AD75" i="57"/>
  <c r="AC75" i="57"/>
  <c r="AE75" i="57"/>
  <c r="M76" i="57"/>
  <c r="AK76" i="57" s="1"/>
  <c r="P16" i="50"/>
  <c r="Z15" i="50"/>
  <c r="O17" i="50"/>
  <c r="T17" i="50"/>
  <c r="AJ15" i="50"/>
  <c r="C15" i="50"/>
  <c r="S16" i="50"/>
  <c r="W15" i="50"/>
  <c r="X14" i="50"/>
  <c r="AD14" i="50" s="1"/>
  <c r="V15" i="50"/>
  <c r="AF60" i="69"/>
  <c r="Q60" i="69"/>
  <c r="O77" i="57"/>
  <c r="P77" i="57"/>
  <c r="AB59" i="69"/>
  <c r="AG59" i="69"/>
  <c r="AO61" i="69"/>
  <c r="O62" i="69"/>
  <c r="AY60" i="69"/>
  <c r="L77" i="57"/>
  <c r="N77" i="57"/>
  <c r="C77" i="53"/>
  <c r="AH60" i="69"/>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B73" i="53" l="1"/>
  <c r="AC73" i="53" s="1"/>
  <c r="AH73" i="53" s="1"/>
  <c r="O75" i="53"/>
  <c r="AG75" i="53" s="1"/>
  <c r="AB74" i="53"/>
  <c r="AC74" i="53" s="1"/>
  <c r="AH74" i="53" s="1"/>
  <c r="Q76" i="53"/>
  <c r="AD76" i="53"/>
  <c r="AT76" i="53"/>
  <c r="R76" i="53"/>
  <c r="N76" i="53"/>
  <c r="AG77" i="57"/>
  <c r="X75" i="57"/>
  <c r="AB75" i="57" s="1"/>
  <c r="AP62" i="69"/>
  <c r="N62" i="69"/>
  <c r="U62" i="69" s="1"/>
  <c r="AQ76" i="57"/>
  <c r="AF74" i="57"/>
  <c r="AB74" i="57"/>
  <c r="AD76" i="57"/>
  <c r="AJ76" i="57"/>
  <c r="R76" i="57"/>
  <c r="Q76" i="57"/>
  <c r="T76" i="57" s="1"/>
  <c r="AE76" i="57"/>
  <c r="AC76" i="57"/>
  <c r="M77" i="57"/>
  <c r="AK77" i="57" s="1"/>
  <c r="P17" i="50"/>
  <c r="Z16" i="50"/>
  <c r="T18" i="50"/>
  <c r="O18" i="50"/>
  <c r="AG13" i="50"/>
  <c r="AH13" i="50" s="1"/>
  <c r="AI13" i="50" s="1"/>
  <c r="AJ16" i="50"/>
  <c r="C16" i="50"/>
  <c r="S17" i="50"/>
  <c r="AK13" i="50"/>
  <c r="W16" i="50"/>
  <c r="X15" i="50"/>
  <c r="AD15" i="50" s="1"/>
  <c r="V16" i="50"/>
  <c r="AF61" i="69"/>
  <c r="Q61" i="69"/>
  <c r="O78" i="57"/>
  <c r="P78" i="57"/>
  <c r="AC59" i="69"/>
  <c r="AD59" i="69" s="1"/>
  <c r="AB60" i="69"/>
  <c r="AG60" i="69"/>
  <c r="AO62" i="69"/>
  <c r="O63" i="69"/>
  <c r="D4" i="22"/>
  <c r="AY61" i="69"/>
  <c r="L78" i="57"/>
  <c r="N78" i="57"/>
  <c r="P78" i="53"/>
  <c r="AH61" i="69"/>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Q14" i="11" s="1"/>
  <c r="X14" i="11" s="1"/>
  <c r="AC20" i="11"/>
  <c r="Q20" i="11" s="1"/>
  <c r="X20" i="11" s="1"/>
  <c r="AC32" i="11"/>
  <c r="Q32" i="11" s="1"/>
  <c r="X32" i="11" s="1"/>
  <c r="AC44" i="11"/>
  <c r="Q44" i="11" s="1"/>
  <c r="AC60" i="11"/>
  <c r="AC76" i="11"/>
  <c r="AC92" i="11"/>
  <c r="AC108" i="11"/>
  <c r="AC120" i="11"/>
  <c r="AC136" i="11"/>
  <c r="AC148" i="11"/>
  <c r="AC164" i="11"/>
  <c r="AC184" i="11"/>
  <c r="AC192" i="11"/>
  <c r="AC208" i="11"/>
  <c r="AC224" i="11"/>
  <c r="AC244" i="11"/>
  <c r="AC256" i="11"/>
  <c r="AC16" i="11"/>
  <c r="Q16" i="11" s="1"/>
  <c r="AC25" i="11"/>
  <c r="Q25" i="11" s="1"/>
  <c r="AC29" i="11"/>
  <c r="Q29" i="11" s="1"/>
  <c r="X29" i="11" s="1"/>
  <c r="AC33" i="11"/>
  <c r="AC37" i="11"/>
  <c r="Q37" i="11" s="1"/>
  <c r="X37" i="11" s="1"/>
  <c r="AC41" i="11"/>
  <c r="Q41" i="11" s="1"/>
  <c r="X41" i="11" s="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Q26" i="11" s="1"/>
  <c r="AC34" i="11"/>
  <c r="Q34" i="11" s="1"/>
  <c r="X34" i="11" s="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Q24" i="11" s="1"/>
  <c r="X24" i="11" s="1"/>
  <c r="AC36" i="11"/>
  <c r="Q36" i="11" s="1"/>
  <c r="X36" i="11" s="1"/>
  <c r="AC40" i="11"/>
  <c r="Q40" i="11" s="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Q30" i="11" s="1"/>
  <c r="X30" i="11" s="1"/>
  <c r="AC38" i="11"/>
  <c r="Q38" i="11" s="1"/>
  <c r="X38" i="11" s="1"/>
  <c r="AC42" i="11"/>
  <c r="Q42" i="11" s="1"/>
  <c r="AC50" i="11"/>
  <c r="AC54" i="11"/>
  <c r="AC62" i="11"/>
  <c r="AC23" i="11"/>
  <c r="Q23" i="11" s="1"/>
  <c r="AC27" i="11"/>
  <c r="Q27" i="11" s="1"/>
  <c r="AC31" i="11"/>
  <c r="Q31" i="11" s="1"/>
  <c r="X31" i="11" s="1"/>
  <c r="AC35" i="11"/>
  <c r="Q35" i="11" s="1"/>
  <c r="AC39" i="11"/>
  <c r="Q39" i="11" s="1"/>
  <c r="X39" i="11" s="1"/>
  <c r="AC43" i="11"/>
  <c r="Q43" i="11" s="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O76" i="53" l="1"/>
  <c r="AG76" i="53" s="1"/>
  <c r="X75" i="53"/>
  <c r="AA75" i="53" s="1"/>
  <c r="AE75" i="53" s="1"/>
  <c r="AF75" i="53" s="1"/>
  <c r="R77" i="53"/>
  <c r="Q77" i="53"/>
  <c r="AD77" i="53"/>
  <c r="AT77" i="53"/>
  <c r="N77" i="53"/>
  <c r="Q33" i="11"/>
  <c r="X33" i="11" s="1"/>
  <c r="AQ33" i="11" s="1"/>
  <c r="AQ28" i="11"/>
  <c r="Q28" i="11"/>
  <c r="F22" i="22"/>
  <c r="F69" i="22"/>
  <c r="X16" i="11"/>
  <c r="AF75" i="57"/>
  <c r="X76" i="57"/>
  <c r="AB76" i="57" s="1"/>
  <c r="AG78" i="57"/>
  <c r="AA75" i="57"/>
  <c r="AQ77" i="57"/>
  <c r="AP63" i="69"/>
  <c r="N63" i="69"/>
  <c r="U63" i="69" s="1"/>
  <c r="R77" i="57"/>
  <c r="AD77" i="57"/>
  <c r="AJ77" i="57"/>
  <c r="Q77" i="57"/>
  <c r="T77" i="57" s="1"/>
  <c r="AC77" i="57"/>
  <c r="AE77" i="57"/>
  <c r="M78" i="57"/>
  <c r="AK78" i="57" s="1"/>
  <c r="P18" i="50"/>
  <c r="T19" i="50"/>
  <c r="O19" i="50"/>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C142" i="11"/>
  <c r="AQ142" i="11" s="1"/>
  <c r="AC69" i="11"/>
  <c r="AC70" i="11"/>
  <c r="AQ70" i="11" s="1"/>
  <c r="AC75" i="1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N79" i="57"/>
  <c r="AH62" i="69"/>
  <c r="H79" i="53"/>
  <c r="K79" i="53"/>
  <c r="AK78" i="52" a="1"/>
  <c r="AK78" i="52" s="1"/>
  <c r="B80" i="53" s="1"/>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F5" i="22" s="1"/>
  <c r="I40" i="22"/>
  <c r="AP19" i="59" a="1"/>
  <c r="AP19" i="59" s="1"/>
  <c r="E20" i="50" s="1"/>
  <c r="I50" i="22"/>
  <c r="I24" i="22"/>
  <c r="I95" i="22"/>
  <c r="I73" i="22"/>
  <c r="AC15" i="11"/>
  <c r="Q15" i="11" s="1"/>
  <c r="X15" i="11" s="1"/>
  <c r="AC13" i="11"/>
  <c r="Q13" i="11" s="1"/>
  <c r="X13" i="11" s="1"/>
  <c r="AC12" i="11"/>
  <c r="I93" i="22" s="1"/>
  <c r="X76" i="53" l="1"/>
  <c r="AA76" i="53" s="1"/>
  <c r="AE76" i="53" s="1"/>
  <c r="AF76" i="53" s="1"/>
  <c r="O77" i="53"/>
  <c r="AG77" i="53" s="1"/>
  <c r="AB75" i="53"/>
  <c r="AC75" i="53" s="1"/>
  <c r="AH75" i="53" s="1"/>
  <c r="R78" i="53"/>
  <c r="Q78" i="53"/>
  <c r="AD78" i="53"/>
  <c r="AT78" i="53"/>
  <c r="N79" i="53"/>
  <c r="N78" i="53"/>
  <c r="Y62" i="69"/>
  <c r="AB62" i="69" s="1"/>
  <c r="AC62" i="69" s="1"/>
  <c r="AD62" i="69" s="1"/>
  <c r="X77" i="57"/>
  <c r="AF77" i="57" s="1"/>
  <c r="AG79" i="57"/>
  <c r="I98" i="22"/>
  <c r="I117" i="22"/>
  <c r="K40" i="36"/>
  <c r="Z261" i="59" s="1"/>
  <c r="I64" i="22"/>
  <c r="AA76" i="57"/>
  <c r="AD78" i="57"/>
  <c r="AP64" i="69"/>
  <c r="N64" i="69"/>
  <c r="U64" i="69" s="1"/>
  <c r="AF76" i="57"/>
  <c r="R78" i="57"/>
  <c r="AE78" i="57"/>
  <c r="Q78" i="57"/>
  <c r="T78" i="57" s="1"/>
  <c r="AQ78" i="57"/>
  <c r="AJ78" i="57"/>
  <c r="AC78" i="57"/>
  <c r="M79" i="57"/>
  <c r="AK79" i="57" s="1"/>
  <c r="Q19" i="50"/>
  <c r="P19" i="50" s="1"/>
  <c r="Z18" i="50"/>
  <c r="I41" i="22"/>
  <c r="O20" i="50"/>
  <c r="T20" i="50"/>
  <c r="Q12" i="11"/>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I90" i="22"/>
  <c r="I109" i="22"/>
  <c r="I131" i="22"/>
  <c r="I75" i="22"/>
  <c r="R79" i="53"/>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X77" i="53" l="1"/>
  <c r="AA77" i="53" s="1"/>
  <c r="AE77" i="53" s="1"/>
  <c r="AF77" i="53" s="1"/>
  <c r="AB76" i="53"/>
  <c r="AC76" i="53" s="1"/>
  <c r="AH76" i="53" s="1"/>
  <c r="O78" i="53"/>
  <c r="AG78" i="53" s="1"/>
  <c r="O79" i="53"/>
  <c r="AG79" i="53" s="1"/>
  <c r="X12" i="11"/>
  <c r="F7" i="22"/>
  <c r="G259" i="46"/>
  <c r="K6" i="46" s="1"/>
  <c r="W261" i="11"/>
  <c r="G259" i="71"/>
  <c r="H260" i="11"/>
  <c r="H261" i="59"/>
  <c r="H259" i="11"/>
  <c r="H259" i="59"/>
  <c r="W259" i="11"/>
  <c r="AG62" i="69"/>
  <c r="AG80" i="57"/>
  <c r="X78" i="57"/>
  <c r="AB78" i="57" s="1"/>
  <c r="T259" i="11"/>
  <c r="Z259" i="59"/>
  <c r="S259" i="11"/>
  <c r="W259" i="59"/>
  <c r="V259" i="59"/>
  <c r="AA77" i="57"/>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O21" i="50"/>
  <c r="T21" i="50"/>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BG14" i="22"/>
  <c r="BG11" i="22"/>
  <c r="I86" i="22"/>
  <c r="J112" i="22"/>
  <c r="AX101" i="22" s="1"/>
  <c r="AY64" i="69"/>
  <c r="L81" i="57"/>
  <c r="N81" i="57"/>
  <c r="AH64" i="69"/>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X78" i="53" l="1"/>
  <c r="AA78" i="53" s="1"/>
  <c r="AE78" i="53" s="1"/>
  <c r="AF78" i="53" s="1"/>
  <c r="AB77" i="53"/>
  <c r="AC77" i="53" s="1"/>
  <c r="AH77" i="53" s="1"/>
  <c r="R80" i="53"/>
  <c r="AD80" i="53"/>
  <c r="Q80" i="53"/>
  <c r="AT80" i="53"/>
  <c r="N81" i="53"/>
  <c r="X79" i="53"/>
  <c r="N80" i="53"/>
  <c r="L6" i="71"/>
  <c r="X79" i="57"/>
  <c r="AB79" i="57" s="1"/>
  <c r="AG81" i="57"/>
  <c r="AF78" i="57"/>
  <c r="AP66" i="69"/>
  <c r="N66" i="69"/>
  <c r="U66" i="69" s="1"/>
  <c r="AA78" i="57"/>
  <c r="AD80" i="57"/>
  <c r="AQ80" i="57"/>
  <c r="AE80" i="57"/>
  <c r="AJ80" i="57"/>
  <c r="R80" i="57"/>
  <c r="Q80" i="57"/>
  <c r="T80" i="57" s="1"/>
  <c r="AC80" i="57"/>
  <c r="M81" i="57"/>
  <c r="AK81" i="57" s="1"/>
  <c r="Q21" i="50"/>
  <c r="P21" i="50" s="1"/>
  <c r="T22" i="50"/>
  <c r="O22" i="50"/>
  <c r="AP17" i="50"/>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R81" i="53"/>
  <c r="BG18" i="22"/>
  <c r="BG10" i="22"/>
  <c r="BG17" i="22"/>
  <c r="AY65" i="69"/>
  <c r="L82" i="57"/>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O80" i="53" l="1"/>
  <c r="AG80" i="53" s="1"/>
  <c r="AB78" i="53"/>
  <c r="AC78" i="53" s="1"/>
  <c r="AH78" i="53" s="1"/>
  <c r="O81" i="53"/>
  <c r="AG81" i="53" s="1"/>
  <c r="AA79" i="53"/>
  <c r="AE79" i="53" s="1"/>
  <c r="AF79" i="53" s="1"/>
  <c r="AB65" i="69"/>
  <c r="AC65" i="69" s="1"/>
  <c r="AD65" i="69" s="1"/>
  <c r="X80" i="57"/>
  <c r="AB80" i="57" s="1"/>
  <c r="AG82" i="57"/>
  <c r="AJ81" i="57"/>
  <c r="AF79" i="57"/>
  <c r="AA79" i="57"/>
  <c r="AP67" i="69"/>
  <c r="N67" i="69"/>
  <c r="U67" i="69" s="1"/>
  <c r="AD81" i="57"/>
  <c r="Q81" i="57"/>
  <c r="T81" i="57" s="1"/>
  <c r="AC81" i="57"/>
  <c r="AQ81" i="57"/>
  <c r="R81" i="57"/>
  <c r="AE81" i="57"/>
  <c r="M82" i="57"/>
  <c r="AK82" i="57" s="1"/>
  <c r="Q22" i="50"/>
  <c r="P22" i="50" s="1"/>
  <c r="T23" i="50"/>
  <c r="O23" i="50"/>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Y66" i="69"/>
  <c r="L83" i="57"/>
  <c r="N83" i="57"/>
  <c r="E83" i="53"/>
  <c r="AH66" i="69"/>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0" i="53" l="1"/>
  <c r="AA80" i="53" s="1"/>
  <c r="AE80" i="53" s="1"/>
  <c r="AF80" i="53" s="1"/>
  <c r="AB79" i="53"/>
  <c r="AC79" i="53" s="1"/>
  <c r="AH79" i="53" s="1"/>
  <c r="N82" i="53"/>
  <c r="AD82" i="53"/>
  <c r="Q82" i="53"/>
  <c r="X81" i="53"/>
  <c r="AA81" i="53" s="1"/>
  <c r="AE81" i="53" s="1"/>
  <c r="AF81" i="53" s="1"/>
  <c r="AT82" i="53"/>
  <c r="R82" i="53"/>
  <c r="N83" i="53"/>
  <c r="X81" i="57"/>
  <c r="AB81" i="57" s="1"/>
  <c r="AB66" i="69"/>
  <c r="AC66" i="69" s="1"/>
  <c r="AD66" i="69" s="1"/>
  <c r="AG83" i="57"/>
  <c r="AP68" i="69"/>
  <c r="N68" i="69"/>
  <c r="U68" i="69" s="1"/>
  <c r="AA80" i="57"/>
  <c r="AF80" i="57"/>
  <c r="Q82" i="57"/>
  <c r="T82" i="57" s="1"/>
  <c r="AE82" i="57"/>
  <c r="AQ82" i="57"/>
  <c r="AC82" i="57"/>
  <c r="AD82" i="57"/>
  <c r="AJ82" i="57"/>
  <c r="R82" i="57"/>
  <c r="M83" i="57"/>
  <c r="AK83" i="57" s="1"/>
  <c r="Q23" i="50"/>
  <c r="P23" i="50" s="1"/>
  <c r="O24" i="50"/>
  <c r="T24" i="50"/>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R83" i="53"/>
  <c r="AY67" i="69"/>
  <c r="L84" i="57"/>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B80" i="53" l="1"/>
  <c r="AC80" i="53" s="1"/>
  <c r="AH80" i="53" s="1"/>
  <c r="O82" i="53"/>
  <c r="AG82" i="53" s="1"/>
  <c r="AB81" i="53"/>
  <c r="AC81" i="53" s="1"/>
  <c r="AH81" i="53" s="1"/>
  <c r="N84" i="53"/>
  <c r="O83" i="53"/>
  <c r="AG83" i="53" s="1"/>
  <c r="AG84" i="57"/>
  <c r="X82" i="57"/>
  <c r="AF82" i="57" s="1"/>
  <c r="AA81" i="57"/>
  <c r="AP69" i="69"/>
  <c r="N69" i="69"/>
  <c r="U69" i="69" s="1"/>
  <c r="AF81" i="57"/>
  <c r="AQ83" i="57"/>
  <c r="AC83" i="57"/>
  <c r="Q83" i="57"/>
  <c r="T83" i="57" s="1"/>
  <c r="AE83" i="57"/>
  <c r="AD83" i="57"/>
  <c r="AJ83" i="57"/>
  <c r="R83" i="57"/>
  <c r="M84" i="57"/>
  <c r="AK84" i="57" s="1"/>
  <c r="Q24" i="50"/>
  <c r="P24" i="50" s="1"/>
  <c r="O25" i="50"/>
  <c r="T25" i="50"/>
  <c r="AP20" i="50"/>
  <c r="AJ23" i="50"/>
  <c r="C23" i="50"/>
  <c r="S24" i="50"/>
  <c r="Z24" i="50" s="1"/>
  <c r="W23" i="50"/>
  <c r="X22" i="50"/>
  <c r="V23" i="50"/>
  <c r="AF68" i="69"/>
  <c r="Q68" i="69"/>
  <c r="O85" i="57"/>
  <c r="P85" i="57"/>
  <c r="AD22" i="50"/>
  <c r="AB67" i="69"/>
  <c r="AG67" i="69"/>
  <c r="O70" i="69"/>
  <c r="AO69" i="69"/>
  <c r="R84" i="53"/>
  <c r="AY68" i="69"/>
  <c r="L85" i="57"/>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X82" i="53" l="1"/>
  <c r="AA82" i="53" s="1"/>
  <c r="N85" i="53"/>
  <c r="X83" i="53"/>
  <c r="O84" i="53"/>
  <c r="AG84" i="53" s="1"/>
  <c r="Y68" i="69"/>
  <c r="AG68" i="69" s="1"/>
  <c r="X83" i="57"/>
  <c r="AB83" i="57" s="1"/>
  <c r="AG85" i="57"/>
  <c r="AP70" i="69"/>
  <c r="N70" i="69"/>
  <c r="U70" i="69" s="1"/>
  <c r="AB82" i="57"/>
  <c r="AA82" i="57"/>
  <c r="Q84" i="57"/>
  <c r="T84" i="57" s="1"/>
  <c r="AC84" i="57"/>
  <c r="AQ84" i="57"/>
  <c r="AD84" i="57"/>
  <c r="AJ84" i="57"/>
  <c r="R84" i="57"/>
  <c r="AE84" i="57"/>
  <c r="M85" i="57"/>
  <c r="AK85" i="57" s="1"/>
  <c r="Q25" i="50"/>
  <c r="P25" i="50" s="1"/>
  <c r="T26" i="50"/>
  <c r="O26" i="50"/>
  <c r="AK21" i="50"/>
  <c r="AL21" i="50" s="1"/>
  <c r="AM21" i="50" s="1"/>
  <c r="AG21" i="50"/>
  <c r="AH21" i="50" s="1"/>
  <c r="AI21" i="50" s="1"/>
  <c r="AJ24" i="50"/>
  <c r="C24" i="50"/>
  <c r="S25" i="50"/>
  <c r="Z25" i="50" s="1"/>
  <c r="W24" i="50"/>
  <c r="X23" i="50"/>
  <c r="V24" i="50"/>
  <c r="AF69" i="69"/>
  <c r="Q69" i="69"/>
  <c r="O86" i="57"/>
  <c r="P86" i="57"/>
  <c r="AD23" i="50"/>
  <c r="AC67" i="69"/>
  <c r="AD67" i="69" s="1"/>
  <c r="O71" i="69"/>
  <c r="AO70" i="69"/>
  <c r="R85" i="53"/>
  <c r="AY69" i="69"/>
  <c r="L86" i="57"/>
  <c r="AT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E82" i="53" l="1"/>
  <c r="AF82" i="53" s="1"/>
  <c r="AB82" i="53"/>
  <c r="AC82" i="53" s="1"/>
  <c r="AH82" i="53" s="1"/>
  <c r="O85" i="53"/>
  <c r="AG85" i="53" s="1"/>
  <c r="AA83" i="53"/>
  <c r="AE83" i="53" s="1"/>
  <c r="AF83" i="53" s="1"/>
  <c r="N86" i="53"/>
  <c r="X84" i="53"/>
  <c r="AB68" i="69"/>
  <c r="AC68" i="69" s="1"/>
  <c r="AD68" i="69" s="1"/>
  <c r="X84" i="57"/>
  <c r="AB84" i="57" s="1"/>
  <c r="AG86" i="57"/>
  <c r="AP71" i="69"/>
  <c r="N71" i="69"/>
  <c r="U71" i="69" s="1"/>
  <c r="AQ85" i="57"/>
  <c r="AF83" i="57"/>
  <c r="AA83" i="57"/>
  <c r="AJ85" i="57"/>
  <c r="R85" i="57"/>
  <c r="AD85" i="57"/>
  <c r="AC85" i="57"/>
  <c r="Q85" i="57"/>
  <c r="T85" i="57" s="1"/>
  <c r="AE85" i="57"/>
  <c r="M86" i="57"/>
  <c r="AK86" i="57" s="1"/>
  <c r="Q26" i="50"/>
  <c r="P26" i="50" s="1"/>
  <c r="T27" i="50"/>
  <c r="O27" i="50"/>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R86" i="53"/>
  <c r="AY70" i="69"/>
  <c r="L87" i="57"/>
  <c r="AT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AB83" i="53" l="1"/>
  <c r="AC83" i="53" s="1"/>
  <c r="AH83" i="53" s="1"/>
  <c r="X85" i="53"/>
  <c r="AA84" i="53"/>
  <c r="AE84" i="53" s="1"/>
  <c r="AF84" i="53" s="1"/>
  <c r="O86" i="53"/>
  <c r="AG86" i="53" s="1"/>
  <c r="X85" i="57"/>
  <c r="AB85" i="57" s="1"/>
  <c r="AG87" i="57"/>
  <c r="AP72" i="69"/>
  <c r="N72" i="69"/>
  <c r="U72" i="69" s="1"/>
  <c r="AF84" i="57"/>
  <c r="AA84" i="57"/>
  <c r="AQ86" i="57"/>
  <c r="AE86" i="57"/>
  <c r="Q86" i="57"/>
  <c r="T86" i="57" s="1"/>
  <c r="AD86" i="57"/>
  <c r="AJ86" i="57"/>
  <c r="R86" i="57"/>
  <c r="AC86" i="57"/>
  <c r="M87" i="57"/>
  <c r="AK87" i="57" s="1"/>
  <c r="Q27" i="50"/>
  <c r="P27" i="50" s="1"/>
  <c r="O28" i="50"/>
  <c r="T28" i="50"/>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Y71" i="69"/>
  <c r="L88" i="57"/>
  <c r="N88" i="57"/>
  <c r="K88" i="53"/>
  <c r="AH71" i="69"/>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AB84" i="53" l="1"/>
  <c r="AC84" i="53" s="1"/>
  <c r="AH84" i="53" s="1"/>
  <c r="Q87" i="53"/>
  <c r="AD87" i="53"/>
  <c r="AA85" i="53"/>
  <c r="AE85" i="53" s="1"/>
  <c r="AF85" i="53" s="1"/>
  <c r="R87" i="53"/>
  <c r="AT87" i="53"/>
  <c r="X86" i="53"/>
  <c r="N87" i="53"/>
  <c r="Y71" i="69"/>
  <c r="AB71" i="69" s="1"/>
  <c r="AC71" i="69" s="1"/>
  <c r="AD71" i="69" s="1"/>
  <c r="X86" i="57"/>
  <c r="AB86" i="57" s="1"/>
  <c r="AG88" i="57"/>
  <c r="AA85" i="57"/>
  <c r="AP73" i="69"/>
  <c r="N73" i="69"/>
  <c r="U73" i="69" s="1"/>
  <c r="AQ87" i="57"/>
  <c r="AF85" i="57"/>
  <c r="AD87" i="57"/>
  <c r="AJ87" i="57"/>
  <c r="R87" i="57"/>
  <c r="Q87" i="57"/>
  <c r="T87" i="57" s="1"/>
  <c r="AC87" i="57"/>
  <c r="AE87" i="57"/>
  <c r="M88" i="57"/>
  <c r="AK88" i="57" s="1"/>
  <c r="Q28" i="50"/>
  <c r="P28" i="50" s="1"/>
  <c r="T19" i="32"/>
  <c r="O19" i="32"/>
  <c r="O29" i="50"/>
  <c r="T29" i="50"/>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Y72" i="69"/>
  <c r="L89" i="57"/>
  <c r="N89" i="57"/>
  <c r="J89" i="53"/>
  <c r="AH72" i="69"/>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B85" i="53" l="1"/>
  <c r="AC85" i="53" s="1"/>
  <c r="AH85" i="53" s="1"/>
  <c r="Q88" i="53"/>
  <c r="AD88" i="53"/>
  <c r="O87" i="53"/>
  <c r="AG87" i="53" s="1"/>
  <c r="AT88" i="53"/>
  <c r="N88" i="53"/>
  <c r="R88" i="53"/>
  <c r="N89" i="53"/>
  <c r="AA86" i="53"/>
  <c r="AE86" i="53" s="1"/>
  <c r="AF86" i="53" s="1"/>
  <c r="AG71" i="69"/>
  <c r="X87" i="57"/>
  <c r="AB87" i="57" s="1"/>
  <c r="AG89" i="57"/>
  <c r="AP74" i="69"/>
  <c r="N74" i="69"/>
  <c r="U74" i="69" s="1"/>
  <c r="AF86" i="57"/>
  <c r="AA86" i="57"/>
  <c r="AQ88" i="57"/>
  <c r="AE88" i="57"/>
  <c r="AD88" i="57"/>
  <c r="AJ88" i="57"/>
  <c r="R88" i="57"/>
  <c r="Q88" i="57"/>
  <c r="T88" i="57" s="1"/>
  <c r="AC88" i="57"/>
  <c r="M89" i="57"/>
  <c r="AK89" i="57" s="1"/>
  <c r="Q29" i="50"/>
  <c r="P29" i="50" s="1"/>
  <c r="O20" i="32"/>
  <c r="T20" i="32"/>
  <c r="T30" i="50"/>
  <c r="O30" i="50"/>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R89" i="53"/>
  <c r="AY73" i="69"/>
  <c r="L90" i="57"/>
  <c r="AT89" i="53"/>
  <c r="N90" i="57"/>
  <c r="P90" i="53"/>
  <c r="AH73" i="69"/>
  <c r="AD89" i="53"/>
  <c r="Q89" i="53"/>
  <c r="F90" i="53"/>
  <c r="L90" i="53"/>
  <c r="D90" i="53"/>
  <c r="G90" i="53"/>
  <c r="H90" i="53"/>
  <c r="I90" i="53"/>
  <c r="C90" i="53"/>
  <c r="E90" i="53"/>
  <c r="AK89" i="52" a="1"/>
  <c r="AK89" i="52" s="1"/>
  <c r="B91" i="53" s="1"/>
  <c r="J90" i="53"/>
  <c r="K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AB86" i="53" l="1"/>
  <c r="AC86" i="53" s="1"/>
  <c r="AH86" i="53" s="1"/>
  <c r="O88" i="53"/>
  <c r="AG88" i="53" s="1"/>
  <c r="X87" i="53"/>
  <c r="AA87" i="53" s="1"/>
  <c r="AE87" i="53" s="1"/>
  <c r="AF87" i="53" s="1"/>
  <c r="O89" i="53"/>
  <c r="AG89" i="53" s="1"/>
  <c r="Q89" i="57"/>
  <c r="T89" i="57" s="1"/>
  <c r="X88" i="57"/>
  <c r="AB88" i="57" s="1"/>
  <c r="AG90" i="57"/>
  <c r="AP75" i="69"/>
  <c r="N75" i="69"/>
  <c r="U75" i="69" s="1"/>
  <c r="AJ89" i="57"/>
  <c r="R89" i="57"/>
  <c r="AD89" i="57"/>
  <c r="AF87" i="57"/>
  <c r="AA87" i="57"/>
  <c r="AQ89" i="57"/>
  <c r="AC89" i="57"/>
  <c r="M90" i="57"/>
  <c r="AK90" i="57" s="1"/>
  <c r="AE89" i="57"/>
  <c r="Q30" i="50"/>
  <c r="P30" i="50" s="1"/>
  <c r="O21" i="32"/>
  <c r="T21" i="32"/>
  <c r="T31" i="50"/>
  <c r="O31" i="50"/>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Y74" i="69"/>
  <c r="L91" i="57"/>
  <c r="N91" i="57"/>
  <c r="G91" i="53"/>
  <c r="AH74" i="69"/>
  <c r="F91" i="53"/>
  <c r="H91" i="53"/>
  <c r="E91" i="53"/>
  <c r="J91" i="53"/>
  <c r="C91" i="53"/>
  <c r="M91" i="53" s="1"/>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8" i="53" l="1"/>
  <c r="AA88" i="53" s="1"/>
  <c r="AE88" i="53" s="1"/>
  <c r="AF88" i="53" s="1"/>
  <c r="AB87" i="53"/>
  <c r="AC87" i="53" s="1"/>
  <c r="AH87" i="53" s="1"/>
  <c r="R90" i="53"/>
  <c r="Q90" i="53"/>
  <c r="AD90" i="53"/>
  <c r="X89" i="53"/>
  <c r="AT90" i="53"/>
  <c r="N90" i="53"/>
  <c r="X89" i="57"/>
  <c r="AA89" i="57" s="1"/>
  <c r="AG91" i="57"/>
  <c r="AA88" i="57"/>
  <c r="AP76" i="69"/>
  <c r="N76" i="69"/>
  <c r="U76" i="69" s="1"/>
  <c r="Q90" i="57"/>
  <c r="T90" i="57" s="1"/>
  <c r="AQ90" i="57"/>
  <c r="AE90" i="57"/>
  <c r="AF88" i="57"/>
  <c r="AD90" i="57"/>
  <c r="AJ90" i="57"/>
  <c r="R90" i="57"/>
  <c r="M91" i="57"/>
  <c r="AK91" i="57" s="1"/>
  <c r="AC90" i="57"/>
  <c r="Q31" i="50"/>
  <c r="P31" i="50" s="1"/>
  <c r="T22" i="32"/>
  <c r="O22" i="32"/>
  <c r="O32" i="50"/>
  <c r="T32" i="50"/>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K22" i="32"/>
  <c r="AY75" i="69"/>
  <c r="L92" i="57"/>
  <c r="N92" i="57"/>
  <c r="I92" i="53"/>
  <c r="AH75" i="69"/>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B88" i="53" l="1"/>
  <c r="AC88" i="53" s="1"/>
  <c r="AH88" i="53" s="1"/>
  <c r="Q91" i="53"/>
  <c r="AD91" i="53"/>
  <c r="AT91" i="53"/>
  <c r="R91" i="53"/>
  <c r="O90" i="53"/>
  <c r="X90" i="53" s="1"/>
  <c r="AA89" i="53"/>
  <c r="AE89" i="53" s="1"/>
  <c r="AF89" i="53" s="1"/>
  <c r="N91" i="53"/>
  <c r="AF89" i="57"/>
  <c r="AB89" i="57"/>
  <c r="AG92" i="57"/>
  <c r="X90" i="57"/>
  <c r="AA90" i="57" s="1"/>
  <c r="AP77" i="69"/>
  <c r="N77" i="69"/>
  <c r="U77" i="69" s="1"/>
  <c r="AJ91" i="57"/>
  <c r="R91" i="57"/>
  <c r="AD91" i="57"/>
  <c r="AE91" i="57"/>
  <c r="Q91" i="57"/>
  <c r="T91" i="57" s="1"/>
  <c r="AC91" i="57"/>
  <c r="AQ91" i="57"/>
  <c r="M92" i="57"/>
  <c r="AK92" i="57" s="1"/>
  <c r="Q32" i="50"/>
  <c r="P32" i="50" s="1"/>
  <c r="T23" i="32"/>
  <c r="O23" i="32"/>
  <c r="O33" i="50"/>
  <c r="T33" i="50"/>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K23" i="32"/>
  <c r="AY76" i="69"/>
  <c r="L93" i="57"/>
  <c r="N93" i="57"/>
  <c r="C93" i="53"/>
  <c r="AH76" i="69"/>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O91" i="53" l="1"/>
  <c r="AG91" i="53" s="1"/>
  <c r="AB89" i="53"/>
  <c r="AC89" i="53" s="1"/>
  <c r="AH89" i="53" s="1"/>
  <c r="AG90" i="53"/>
  <c r="Q92" i="53"/>
  <c r="AD92" i="53"/>
  <c r="AT92" i="53"/>
  <c r="R92" i="53"/>
  <c r="N92" i="53"/>
  <c r="N93" i="53"/>
  <c r="AA90" i="53"/>
  <c r="AE90" i="53" s="1"/>
  <c r="AF90" i="53" s="1"/>
  <c r="X91" i="57"/>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K24" i="32"/>
  <c r="R93" i="53"/>
  <c r="AY77" i="69"/>
  <c r="L94" i="57"/>
  <c r="AT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O92" i="53" l="1"/>
  <c r="AG92" i="53" s="1"/>
  <c r="X91" i="53"/>
  <c r="AA91" i="53" s="1"/>
  <c r="AE91" i="53" s="1"/>
  <c r="AF91" i="53" s="1"/>
  <c r="AB90" i="53"/>
  <c r="AC90" i="53" s="1"/>
  <c r="AH90" i="53" s="1"/>
  <c r="O93" i="53"/>
  <c r="AG93" i="53" s="1"/>
  <c r="X92" i="57"/>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2" i="53" l="1"/>
  <c r="AA92" i="53" s="1"/>
  <c r="AE92" i="53" s="1"/>
  <c r="AF92" i="53" s="1"/>
  <c r="AB91" i="53"/>
  <c r="AC91" i="53" s="1"/>
  <c r="AH91" i="53" s="1"/>
  <c r="X93" i="53"/>
  <c r="X93" i="57"/>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AB92" i="53" l="1"/>
  <c r="AC92" i="53" s="1"/>
  <c r="AH92" i="53" s="1"/>
  <c r="AA93" i="53"/>
  <c r="AE93" i="53" s="1"/>
  <c r="AF93" i="53" s="1"/>
  <c r="Y79" i="69"/>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93" i="53" l="1"/>
  <c r="AC93" i="53" s="1"/>
  <c r="AH93" i="53" s="1"/>
  <c r="AB79" i="69"/>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O14" i="32" l="1"/>
  <c r="O15" i="32"/>
  <c r="O16" i="32"/>
  <c r="I17" i="32"/>
  <c r="O17" i="32"/>
  <c r="O18" i="32"/>
  <c r="X160" i="57"/>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AB145" i="69"/>
  <c r="AG145" i="69"/>
  <c r="AO147" i="69"/>
  <c r="O148" i="69"/>
  <c r="AK103" i="50"/>
  <c r="AF161" i="53"/>
  <c r="AE162" i="53"/>
  <c r="AK93" i="32"/>
  <c r="AM102" i="50"/>
  <c r="R162" i="53"/>
  <c r="X162" i="53" s="1"/>
  <c r="AL100" i="50"/>
  <c r="A12" i="32"/>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G17" i="32"/>
  <c r="A17" i="32"/>
  <c r="N17" i="32"/>
  <c r="B17" i="32"/>
  <c r="H17" i="32"/>
  <c r="G18" i="32"/>
  <c r="M18" i="32"/>
  <c r="I18" i="32"/>
  <c r="J18" i="32"/>
  <c r="K18" i="32"/>
  <c r="H18" i="32"/>
  <c r="A18" i="32"/>
  <c r="L18" i="32"/>
  <c r="B18" i="32"/>
  <c r="F18" i="32"/>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L16" i="32"/>
  <c r="N16" i="32"/>
  <c r="M16" i="32"/>
  <c r="A16" i="32"/>
  <c r="G16" i="32"/>
  <c r="B16" i="32"/>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B13" i="32"/>
  <c r="A14" i="32"/>
  <c r="B14" i="32"/>
  <c r="A15" i="32"/>
  <c r="B15" i="32"/>
  <c r="I93" i="32"/>
  <c r="J93" i="32"/>
  <c r="L93" i="32"/>
  <c r="F93" i="32"/>
  <c r="U93" i="32" s="1"/>
  <c r="N93" i="32"/>
  <c r="K93" i="32"/>
  <c r="H93" i="32"/>
  <c r="G93" i="32"/>
  <c r="M93" i="32"/>
  <c r="F13" i="32"/>
  <c r="N13" i="32"/>
  <c r="L14" i="32"/>
  <c r="J15" i="32"/>
  <c r="G13" i="32"/>
  <c r="M14" i="32"/>
  <c r="K15" i="32"/>
  <c r="H13" i="32"/>
  <c r="F14" i="32"/>
  <c r="N14" i="32"/>
  <c r="L15" i="32"/>
  <c r="I13" i="32"/>
  <c r="G14" i="32"/>
  <c r="M15" i="32"/>
  <c r="H15" i="32"/>
  <c r="J13" i="32"/>
  <c r="H14" i="32"/>
  <c r="F15" i="32"/>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25" i="32"/>
  <c r="AD51" i="32"/>
  <c r="AD66" i="32"/>
  <c r="AD35" i="32"/>
  <c r="AD48" i="32"/>
  <c r="AD68" i="32"/>
  <c r="AD85" i="32"/>
  <c r="AD40" i="32"/>
  <c r="AD55" i="32"/>
  <c r="AD79" i="32"/>
  <c r="AD42" i="32"/>
  <c r="AD60" i="32"/>
  <c r="AD71" i="32"/>
  <c r="AG71" i="32" s="1"/>
  <c r="AH71" i="32" s="1"/>
  <c r="AD82"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T17" i="32" s="1"/>
  <c r="U17" i="32" s="1"/>
  <c r="AD17" i="32" s="1"/>
  <c r="C17" i="32"/>
  <c r="W19" i="32"/>
  <c r="X19" i="32" s="1"/>
  <c r="C19" i="32"/>
  <c r="AJ19" i="32"/>
  <c r="AJ18" i="32"/>
  <c r="C18" i="32"/>
  <c r="W18" i="32"/>
  <c r="X18" i="32" s="1"/>
  <c r="T18" i="32" s="1"/>
  <c r="U18" i="32" s="1"/>
  <c r="AD18" i="32" s="1"/>
  <c r="AJ21" i="32"/>
  <c r="W21" i="32"/>
  <c r="X21" i="32" s="1"/>
  <c r="C21" i="32"/>
  <c r="C14" i="32"/>
  <c r="AJ14" i="32"/>
  <c r="W14" i="32"/>
  <c r="X14" i="32" s="1"/>
  <c r="T14" i="32" s="1"/>
  <c r="U14" i="32" s="1"/>
  <c r="AD14" i="32" s="1"/>
  <c r="W16" i="32"/>
  <c r="X16" i="32" s="1"/>
  <c r="T16" i="32" s="1"/>
  <c r="U16" i="32" s="1"/>
  <c r="AD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T15" i="32" s="1"/>
  <c r="U15" i="32" s="1"/>
  <c r="AD15" i="32" s="1"/>
  <c r="AY149" i="69"/>
  <c r="L166" i="57"/>
  <c r="X12" i="32"/>
  <c r="V13" i="32"/>
  <c r="AH165" i="53"/>
  <c r="AT165" i="53"/>
  <c r="AG165" i="53"/>
  <c r="N166" i="57"/>
  <c r="P166" i="53"/>
  <c r="AH149" i="69"/>
  <c r="AD165" i="53"/>
  <c r="X13" i="32"/>
  <c r="T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U13" i="32" l="1"/>
  <c r="AD13" i="32" s="1"/>
  <c r="AG13" i="32" s="1"/>
  <c r="AH13" i="32" s="1"/>
  <c r="AA163" i="57"/>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X21" i="11"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H29"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AQ257" i="57" l="1"/>
  <c r="AD187" i="32"/>
  <c r="AG187" i="32" s="1"/>
  <c r="AH187" i="32" s="1"/>
  <c r="AD197" i="50"/>
  <c r="AG197" i="50" s="1"/>
  <c r="X256" i="57"/>
  <c r="AB256" i="57" s="1"/>
  <c r="J17" i="73"/>
  <c r="K17" i="73"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J29" i="73"/>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H52" i="73"/>
  <c r="J52" i="73" s="1"/>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1" i="104" l="1"/>
  <c r="D48" i="104"/>
  <c r="H22" i="104"/>
  <c r="H31" i="104" s="1"/>
  <c r="AD250" i="32"/>
  <c r="AG250" i="32" s="1"/>
  <c r="AH250" i="32" s="1"/>
  <c r="AD251" i="32"/>
  <c r="BD80" i="22"/>
  <c r="E109" i="72" s="1"/>
  <c r="T253" i="32"/>
  <c r="O253" i="32"/>
  <c r="T252" i="32"/>
  <c r="O252" i="32"/>
  <c r="AP257" i="50"/>
  <c r="AP259" i="50" s="1"/>
  <c r="L24" i="73" s="1"/>
  <c r="AQ259" i="50"/>
  <c r="H24" i="73" s="1"/>
  <c r="H28"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14" i="104" l="1"/>
  <c r="G5" i="104" s="1"/>
  <c r="Q253" i="32"/>
  <c r="P253" i="32" s="1"/>
  <c r="Q252" i="32"/>
  <c r="P252" i="32" s="1"/>
  <c r="J28" i="73"/>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H16" i="73" s="1"/>
  <c r="BA9" i="22"/>
  <c r="BA13" i="22"/>
  <c r="AL5" i="22"/>
  <c r="R25" i="22"/>
  <c r="AO10" i="22"/>
  <c r="AK15" i="11" a="1"/>
  <c r="AK15" i="11" s="1"/>
  <c r="AK16" i="11" s="1" a="1"/>
  <c r="AK16" i="11" s="1"/>
  <c r="BG9" i="22"/>
  <c r="J83" i="22"/>
  <c r="AX13" i="22" s="1"/>
  <c r="AE83" i="22"/>
  <c r="H47" i="73" l="1"/>
  <c r="H51" i="73" s="1"/>
  <c r="J16" i="73"/>
  <c r="K16" i="73" s="1"/>
  <c r="H37" i="73"/>
  <c r="E61" i="73"/>
  <c r="F61" i="73" s="1"/>
  <c r="H61" i="73" s="1"/>
  <c r="BB34" i="22"/>
  <c r="AP5" i="22"/>
  <c r="AF25" i="22"/>
  <c r="AL10" i="22"/>
  <c r="D65" i="36"/>
  <c r="H65" i="36" s="1"/>
  <c r="AK17" i="11" a="1"/>
  <c r="AK17" i="11" s="1"/>
  <c r="AK18" i="11" s="1" a="1"/>
  <c r="AK18" i="11" s="1"/>
  <c r="R83" i="22"/>
  <c r="J51" i="73" l="1"/>
  <c r="H14" i="36"/>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X14" i="63" s="1"/>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R14" i="63" s="1"/>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H174" i="22" l="1"/>
  <c r="Y14" i="63"/>
  <c r="I5" i="55"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AE14" i="65"/>
  <c r="AH14" i="65" s="1"/>
  <c r="U14" i="65"/>
  <c r="AV14" i="65"/>
  <c r="R14" i="65"/>
  <c r="S14" i="65" s="1"/>
  <c r="O14" i="65" s="1"/>
  <c r="P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AV15" i="65"/>
  <c r="B18" i="65"/>
  <c r="C17" i="65"/>
  <c r="L17" i="65"/>
  <c r="M17" i="65" s="1"/>
  <c r="P15" i="65" l="1"/>
  <c r="Y15" i="65" s="1"/>
  <c r="AB15" i="65" s="1"/>
  <c r="AC15" i="65" s="1"/>
  <c r="N19" i="65"/>
  <c r="U19" i="65" s="1"/>
  <c r="N17" i="65"/>
  <c r="U17" i="65" s="1"/>
  <c r="N16" i="65"/>
  <c r="U16" i="65" s="1"/>
  <c r="Y14" i="65"/>
  <c r="AB14" i="65" s="1"/>
  <c r="AC14" i="65" s="1"/>
  <c r="AD14" i="65" s="1"/>
  <c r="AM14" i="65" s="1"/>
  <c r="AF13" i="65"/>
  <c r="AG13" i="65" s="1"/>
  <c r="AF12" i="65"/>
  <c r="AG12" i="65" s="1"/>
  <c r="AD12" i="65"/>
  <c r="AM12" i="65" s="1"/>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L18" i="65"/>
  <c r="M18" i="65" s="1"/>
  <c r="C18" i="65"/>
  <c r="D19" i="65"/>
  <c r="E19" i="65" s="1"/>
  <c r="F19" i="65" s="1"/>
  <c r="G19" i="65" s="1"/>
  <c r="H19" i="65" s="1"/>
  <c r="I19" i="65" s="1"/>
  <c r="J19" i="65" s="1"/>
  <c r="K19" i="65" s="1"/>
  <c r="AF14" i="65" l="1"/>
  <c r="AE16" i="65"/>
  <c r="AH16" i="65" s="1"/>
  <c r="N18" i="65"/>
  <c r="U18" i="65" s="1"/>
  <c r="AG14" i="65"/>
  <c r="R16" i="65"/>
  <c r="S16" i="65" s="1"/>
  <c r="AV16" i="65"/>
  <c r="Q16" i="65"/>
  <c r="O16" i="65"/>
  <c r="P16" i="65" s="1"/>
  <c r="L20" i="65"/>
  <c r="M20" i="65" s="1"/>
  <c r="C20" i="65"/>
  <c r="AO19" i="63" a="1"/>
  <c r="AO19" i="63" s="1"/>
  <c r="AN22" i="63" a="1"/>
  <c r="AN22" i="63" s="1"/>
  <c r="R19" i="65"/>
  <c r="S19" i="65" s="1"/>
  <c r="O19" i="65" s="1"/>
  <c r="P19" i="65" s="1"/>
  <c r="Q19" i="65"/>
  <c r="AV19" i="65"/>
  <c r="AE19" i="65"/>
  <c r="AH19" i="65" s="1"/>
  <c r="D18" i="65"/>
  <c r="E18" i="65" s="1"/>
  <c r="F18" i="65" s="1"/>
  <c r="G18" i="65" s="1"/>
  <c r="H18" i="65" s="1"/>
  <c r="I18" i="65" s="1"/>
  <c r="J18" i="65" s="1"/>
  <c r="K18" i="65" s="1"/>
  <c r="AD15" i="65"/>
  <c r="AM15" i="65" s="1"/>
  <c r="AF15" i="65"/>
  <c r="AG15" i="65" s="1"/>
  <c r="R17" i="65"/>
  <c r="S17" i="65" s="1"/>
  <c r="O17" i="65" s="1"/>
  <c r="AE17" i="65"/>
  <c r="AH17" i="65" s="1"/>
  <c r="Q17" i="65"/>
  <c r="AV17" i="65"/>
  <c r="P17" i="65" l="1"/>
  <c r="Y17" i="65" s="1"/>
  <c r="AB17" i="65" s="1"/>
  <c r="AC17" i="65" s="1"/>
  <c r="N20" i="65"/>
  <c r="Y16" i="65"/>
  <c r="AB16" i="65" s="1"/>
  <c r="Y19" i="65"/>
  <c r="AB19" i="65" s="1"/>
  <c r="AC19" i="65" s="1"/>
  <c r="AD19" i="65" s="1"/>
  <c r="AM19" i="65" s="1"/>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V18" i="65"/>
  <c r="R18" i="65"/>
  <c r="S18" i="65" s="1"/>
  <c r="O18" i="65" s="1"/>
  <c r="AE18" i="65"/>
  <c r="AH18" i="65" s="1"/>
  <c r="Q18" i="65"/>
  <c r="P18" i="65" l="1"/>
  <c r="Y18" i="65" s="1"/>
  <c r="AB18" i="65" s="1"/>
  <c r="AF19" i="65"/>
  <c r="AG19" i="65"/>
  <c r="AC16" i="65"/>
  <c r="U20" i="65"/>
  <c r="Q20" i="65"/>
  <c r="R20" i="65"/>
  <c r="S20" i="65" s="1"/>
  <c r="O20" i="65" s="1"/>
  <c r="P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AD16" i="65" l="1"/>
  <c r="AM16" i="65" s="1"/>
  <c r="AF16" i="65"/>
  <c r="AG16" i="65" s="1"/>
  <c r="N22" i="65"/>
  <c r="U22" i="65" s="1"/>
  <c r="N21" i="65"/>
  <c r="AC18" i="65"/>
  <c r="AD18" i="65" s="1"/>
  <c r="AM18" i="65" s="1"/>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Y20" i="65"/>
  <c r="AB20" i="65" s="1"/>
  <c r="AC20" i="65" s="1"/>
  <c r="AD20" i="65" s="1"/>
  <c r="AM20" i="65" s="1"/>
  <c r="U21" i="65"/>
  <c r="R22" i="65"/>
  <c r="S22" i="65" s="1"/>
  <c r="O22" i="65" s="1"/>
  <c r="Q22" i="65"/>
  <c r="AV22" i="65"/>
  <c r="AE22" i="65"/>
  <c r="AH22" i="65" s="1"/>
  <c r="D23" i="65"/>
  <c r="E23" i="65" s="1"/>
  <c r="F23" i="65" s="1"/>
  <c r="G23" i="65" s="1"/>
  <c r="H23" i="65" s="1"/>
  <c r="I23" i="65" s="1"/>
  <c r="J23" i="65" s="1"/>
  <c r="K23" i="65" s="1"/>
  <c r="AV21" i="65"/>
  <c r="R21" i="65"/>
  <c r="S21" i="65" s="1"/>
  <c r="O21" i="65" s="1"/>
  <c r="P21" i="65" s="1"/>
  <c r="AE21" i="65"/>
  <c r="AH21" i="65" s="1"/>
  <c r="Q21" i="65"/>
  <c r="AO23" i="63" a="1"/>
  <c r="AO23" i="63" s="1"/>
  <c r="B25" i="65" s="1"/>
  <c r="L24" i="65"/>
  <c r="M24" i="65" s="1"/>
  <c r="C24" i="65"/>
  <c r="P22" i="65" l="1"/>
  <c r="Y22" i="65" s="1"/>
  <c r="AB22" i="65" s="1"/>
  <c r="AC22" i="65" s="1"/>
  <c r="AF20" i="65"/>
  <c r="N24" i="65"/>
  <c r="AG20" i="65"/>
  <c r="AO24" i="63" a="1"/>
  <c r="AO24" i="63" s="1"/>
  <c r="B26" i="65" s="1"/>
  <c r="C25" i="65"/>
  <c r="L25" i="65"/>
  <c r="M25" i="65" s="1"/>
  <c r="D24" i="65"/>
  <c r="E24" i="65" s="1"/>
  <c r="F24" i="65" s="1"/>
  <c r="G24" i="65" s="1"/>
  <c r="H24" i="65" s="1"/>
  <c r="I24" i="65" s="1"/>
  <c r="J24" i="65" s="1"/>
  <c r="K24" i="65" s="1"/>
  <c r="Q23" i="65"/>
  <c r="AE23" i="65"/>
  <c r="AH23" i="65" s="1"/>
  <c r="R23" i="65"/>
  <c r="S23" i="65" s="1"/>
  <c r="O23" i="65" s="1"/>
  <c r="P23" i="65" s="1"/>
  <c r="AV23" i="65"/>
  <c r="AD22" i="65" l="1"/>
  <c r="AM22" i="65" s="1"/>
  <c r="AF22" i="65"/>
  <c r="AG22" i="65" s="1"/>
  <c r="N25" i="65"/>
  <c r="U25" i="65" s="1"/>
  <c r="Y21" i="65"/>
  <c r="AB21" i="65" s="1"/>
  <c r="AC21" i="65" s="1"/>
  <c r="AD21" i="65" s="1"/>
  <c r="AM21" i="65" s="1"/>
  <c r="Y23" i="65"/>
  <c r="AB23" i="65" s="1"/>
  <c r="AC23" i="65" s="1"/>
  <c r="AF21" i="65"/>
  <c r="U24" i="65"/>
  <c r="R24" i="65"/>
  <c r="S24" i="65" s="1"/>
  <c r="O24" i="65" s="1"/>
  <c r="AE24" i="65"/>
  <c r="AH24" i="65" s="1"/>
  <c r="AV24" i="65"/>
  <c r="Q24" i="65"/>
  <c r="D25" i="65"/>
  <c r="E25" i="65" s="1"/>
  <c r="F25" i="65" s="1"/>
  <c r="G25" i="65" s="1"/>
  <c r="H25" i="65" s="1"/>
  <c r="I25" i="65" s="1"/>
  <c r="J25" i="65" s="1"/>
  <c r="K25" i="65" s="1"/>
  <c r="AO25" i="63" a="1"/>
  <c r="AO25" i="63" s="1"/>
  <c r="B27" i="65" s="1"/>
  <c r="C26" i="65"/>
  <c r="L26" i="65"/>
  <c r="M26" i="65" s="1"/>
  <c r="AD23" i="65" l="1"/>
  <c r="AM23" i="65" s="1"/>
  <c r="AF23" i="65"/>
  <c r="P24" i="65"/>
  <c r="Y24" i="65" s="1"/>
  <c r="AB24" i="65" s="1"/>
  <c r="AC24" i="65" s="1"/>
  <c r="P25" i="65"/>
  <c r="N26" i="65"/>
  <c r="U26" i="65" s="1"/>
  <c r="AG23" i="65"/>
  <c r="AG21" i="65"/>
  <c r="L27" i="65"/>
  <c r="M27" i="65" s="1"/>
  <c r="C27" i="65"/>
  <c r="AV25" i="65"/>
  <c r="R25" i="65"/>
  <c r="S25" i="65" s="1"/>
  <c r="O25" i="65" s="1"/>
  <c r="AE25" i="65"/>
  <c r="AH25" i="65" s="1"/>
  <c r="Q25" i="65"/>
  <c r="AO26" i="63" a="1"/>
  <c r="AO26" i="63" s="1"/>
  <c r="B28" i="65" s="1"/>
  <c r="D26" i="65"/>
  <c r="E26" i="65" s="1"/>
  <c r="F26" i="65" s="1"/>
  <c r="G26" i="65" s="1"/>
  <c r="H26" i="65" s="1"/>
  <c r="I26" i="65" s="1"/>
  <c r="J26" i="65" s="1"/>
  <c r="K26" i="65" s="1"/>
  <c r="AD24" i="65" l="1"/>
  <c r="AM24" i="65" s="1"/>
  <c r="AF24" i="65"/>
  <c r="AG24" i="65" s="1"/>
  <c r="Y25" i="65"/>
  <c r="AB25" i="65" s="1"/>
  <c r="AC25" i="65" s="1"/>
  <c r="N27" i="65"/>
  <c r="Q26" i="65"/>
  <c r="R26" i="65"/>
  <c r="S26" i="65" s="1"/>
  <c r="O26" i="65" s="1"/>
  <c r="P26" i="65" s="1"/>
  <c r="AE26" i="65"/>
  <c r="AH26" i="65" s="1"/>
  <c r="AV26" i="65"/>
  <c r="L28" i="65"/>
  <c r="M28" i="65" s="1"/>
  <c r="C28" i="65"/>
  <c r="D27" i="65"/>
  <c r="E27" i="65" s="1"/>
  <c r="F27" i="65" s="1"/>
  <c r="G27" i="65" s="1"/>
  <c r="H27" i="65" s="1"/>
  <c r="I27" i="65" s="1"/>
  <c r="J27" i="65" s="1"/>
  <c r="K27" i="65" s="1"/>
  <c r="AO27" i="63" a="1"/>
  <c r="AO27" i="63" s="1"/>
  <c r="B29" i="65" s="1"/>
  <c r="AD25" i="65" l="1"/>
  <c r="AM25" i="65" s="1"/>
  <c r="AF25" i="65"/>
  <c r="AG25" i="65" s="1"/>
  <c r="N28" i="65"/>
  <c r="Y26" i="65"/>
  <c r="AB26" i="65" s="1"/>
  <c r="AC26" i="65" s="1"/>
  <c r="U27" i="65"/>
  <c r="AO28" i="63" a="1"/>
  <c r="AO28" i="63" s="1"/>
  <c r="B30" i="65" s="1"/>
  <c r="AV27" i="65"/>
  <c r="Q27" i="65"/>
  <c r="R27" i="65"/>
  <c r="S27" i="65" s="1"/>
  <c r="O27" i="65" s="1"/>
  <c r="P27" i="65" s="1"/>
  <c r="AE27" i="65"/>
  <c r="AH27" i="65" s="1"/>
  <c r="D28" i="65"/>
  <c r="E28" i="65" s="1"/>
  <c r="F28" i="65" s="1"/>
  <c r="G28" i="65" s="1"/>
  <c r="H28" i="65" s="1"/>
  <c r="I28" i="65" s="1"/>
  <c r="J28" i="65" s="1"/>
  <c r="K28" i="65" s="1"/>
  <c r="C29" i="65"/>
  <c r="L29" i="65"/>
  <c r="M29" i="65" s="1"/>
  <c r="AD26" i="65" l="1"/>
  <c r="AM26" i="65" s="1"/>
  <c r="AF26" i="65"/>
  <c r="N29" i="65"/>
  <c r="AG26" i="65"/>
  <c r="Y27" i="65"/>
  <c r="AB27" i="65" s="1"/>
  <c r="AC27" i="65" s="1"/>
  <c r="U28" i="65"/>
  <c r="AO29" i="63" a="1"/>
  <c r="AO29" i="63" s="1"/>
  <c r="B31" i="65" s="1"/>
  <c r="D29" i="65"/>
  <c r="E29" i="65" s="1"/>
  <c r="F29" i="65" s="1"/>
  <c r="G29" i="65" s="1"/>
  <c r="H29" i="65" s="1"/>
  <c r="I29" i="65" s="1"/>
  <c r="J29" i="65" s="1"/>
  <c r="K29" i="65" s="1"/>
  <c r="AV28" i="65"/>
  <c r="Q28" i="65"/>
  <c r="AE28" i="65"/>
  <c r="AH28" i="65" s="1"/>
  <c r="R28" i="65"/>
  <c r="S28" i="65" s="1"/>
  <c r="O28" i="65" s="1"/>
  <c r="P28" i="65" s="1"/>
  <c r="L30" i="65"/>
  <c r="M30" i="65" s="1"/>
  <c r="C30" i="65"/>
  <c r="AD27" i="65" l="1"/>
  <c r="AM27" i="65" s="1"/>
  <c r="AF27" i="65"/>
  <c r="N30" i="65"/>
  <c r="Y28" i="65"/>
  <c r="AB28" i="65" s="1"/>
  <c r="AC28" i="65" s="1"/>
  <c r="AG27" i="65"/>
  <c r="U29" i="65"/>
  <c r="AE29" i="65"/>
  <c r="AH29" i="65" s="1"/>
  <c r="Q29" i="65"/>
  <c r="AV29" i="65"/>
  <c r="R29" i="65"/>
  <c r="S29" i="65" s="1"/>
  <c r="O29" i="65" s="1"/>
  <c r="P29" i="65" s="1"/>
  <c r="AO30" i="63" a="1"/>
  <c r="AO30" i="63" s="1"/>
  <c r="B32" i="65" s="1"/>
  <c r="D30" i="65"/>
  <c r="E30" i="65" s="1"/>
  <c r="F30" i="65" s="1"/>
  <c r="G30" i="65" s="1"/>
  <c r="H30" i="65" s="1"/>
  <c r="I30" i="65" s="1"/>
  <c r="J30" i="65" s="1"/>
  <c r="K30" i="65" s="1"/>
  <c r="L31" i="65"/>
  <c r="M31" i="65" s="1"/>
  <c r="C31" i="65"/>
  <c r="AD28" i="65" l="1"/>
  <c r="AM28" i="65" s="1"/>
  <c r="AF28" i="65"/>
  <c r="N31" i="65"/>
  <c r="U31" i="65" s="1"/>
  <c r="AG28" i="65"/>
  <c r="Y29" i="65"/>
  <c r="U30" i="65"/>
  <c r="C32" i="65"/>
  <c r="L32" i="65"/>
  <c r="M32" i="65" s="1"/>
  <c r="D31" i="65"/>
  <c r="E31" i="65" s="1"/>
  <c r="F31" i="65" s="1"/>
  <c r="G31" i="65" s="1"/>
  <c r="H31" i="65" s="1"/>
  <c r="I31" i="65" s="1"/>
  <c r="J31" i="65" s="1"/>
  <c r="K31" i="65" s="1"/>
  <c r="Q30" i="65"/>
  <c r="AV30" i="65"/>
  <c r="AE30" i="65"/>
  <c r="AH30" i="65" s="1"/>
  <c r="R30" i="65"/>
  <c r="S30" i="65" s="1"/>
  <c r="O30" i="65" s="1"/>
  <c r="AO31" i="63" a="1"/>
  <c r="AO31" i="63" s="1"/>
  <c r="B33" i="65" s="1"/>
  <c r="P30" i="65" l="1"/>
  <c r="Y30" i="65" s="1"/>
  <c r="N32" i="65"/>
  <c r="U32" i="65" s="1"/>
  <c r="AB29" i="65"/>
  <c r="L33" i="65"/>
  <c r="M33" i="65" s="1"/>
  <c r="C33" i="65"/>
  <c r="AE31" i="65"/>
  <c r="AH31" i="65" s="1"/>
  <c r="R31" i="65"/>
  <c r="S31" i="65" s="1"/>
  <c r="O31" i="65" s="1"/>
  <c r="P31" i="65" s="1"/>
  <c r="AV31" i="65"/>
  <c r="Q31" i="65"/>
  <c r="D32" i="65"/>
  <c r="E32" i="65" s="1"/>
  <c r="F32" i="65" s="1"/>
  <c r="G32" i="65" s="1"/>
  <c r="H32" i="65" s="1"/>
  <c r="I32" i="65" s="1"/>
  <c r="J32" i="65" s="1"/>
  <c r="K32" i="65" s="1"/>
  <c r="AO32" i="63" a="1"/>
  <c r="AO32" i="63" s="1"/>
  <c r="B34" i="65" s="1"/>
  <c r="N33" i="65" l="1"/>
  <c r="AB30" i="65"/>
  <c r="AC30" i="65" s="1"/>
  <c r="Y31" i="65"/>
  <c r="AB31" i="65" s="1"/>
  <c r="AC31" i="65" s="1"/>
  <c r="AC29" i="65"/>
  <c r="C34" i="65"/>
  <c r="L34" i="65"/>
  <c r="M34" i="65" s="1"/>
  <c r="R32" i="65"/>
  <c r="S32" i="65" s="1"/>
  <c r="AV32" i="65"/>
  <c r="Q32" i="65"/>
  <c r="AE32" i="65"/>
  <c r="AH32" i="65" s="1"/>
  <c r="D33" i="65"/>
  <c r="E33" i="65" s="1"/>
  <c r="F33" i="65" s="1"/>
  <c r="G33" i="65" s="1"/>
  <c r="H33" i="65" s="1"/>
  <c r="I33" i="65" s="1"/>
  <c r="J33" i="65" s="1"/>
  <c r="K33" i="65" s="1"/>
  <c r="U33" i="65"/>
  <c r="AO33" i="63" a="1"/>
  <c r="AO33" i="63" s="1"/>
  <c r="B35" i="65" s="1"/>
  <c r="O32" i="65" l="1"/>
  <c r="P32" i="65" s="1"/>
  <c r="Y32" i="65" s="1"/>
  <c r="AB32" i="65" s="1"/>
  <c r="AC32" i="65" s="1"/>
  <c r="AD31" i="65"/>
  <c r="AM31" i="65" s="1"/>
  <c r="AF31" i="65"/>
  <c r="AD30" i="65"/>
  <c r="AM30" i="65" s="1"/>
  <c r="AF30" i="65"/>
  <c r="AG30" i="65" s="1"/>
  <c r="AD29" i="65"/>
  <c r="AM29" i="65" s="1"/>
  <c r="AF29" i="65"/>
  <c r="AG29" i="65" s="1"/>
  <c r="N34" i="65"/>
  <c r="U34" i="65" s="1"/>
  <c r="AG31" i="65"/>
  <c r="AO34" i="63" a="1"/>
  <c r="AO34" i="63" s="1"/>
  <c r="B36" i="65" s="1"/>
  <c r="C35" i="65"/>
  <c r="L35" i="65"/>
  <c r="M35" i="65" s="1"/>
  <c r="AE33" i="65"/>
  <c r="AH33" i="65" s="1"/>
  <c r="Q33" i="65"/>
  <c r="AV33" i="65"/>
  <c r="R33" i="65"/>
  <c r="S33" i="65" s="1"/>
  <c r="O33" i="65" s="1"/>
  <c r="P33" i="65" s="1"/>
  <c r="D34" i="65"/>
  <c r="E34" i="65" s="1"/>
  <c r="F34" i="65" s="1"/>
  <c r="G34" i="65" s="1"/>
  <c r="H34" i="65" s="1"/>
  <c r="I34" i="65" s="1"/>
  <c r="J34" i="65" s="1"/>
  <c r="K34" i="65" s="1"/>
  <c r="AD32" i="65" l="1"/>
  <c r="AM32" i="65" s="1"/>
  <c r="AF32" i="65"/>
  <c r="AG32" i="65" s="1"/>
  <c r="N35" i="65"/>
  <c r="U35" i="65" s="1"/>
  <c r="Y33" i="65"/>
  <c r="AO35" i="63" a="1"/>
  <c r="AO35" i="63" s="1"/>
  <c r="B37" i="65" s="1"/>
  <c r="AV34" i="65"/>
  <c r="R34" i="65"/>
  <c r="S34" i="65" s="1"/>
  <c r="O34" i="65" s="1"/>
  <c r="P34" i="65" s="1"/>
  <c r="AE34" i="65"/>
  <c r="AH34" i="65" s="1"/>
  <c r="Q34" i="65"/>
  <c r="D35" i="65"/>
  <c r="E35" i="65" s="1"/>
  <c r="F35" i="65" s="1"/>
  <c r="G35" i="65" s="1"/>
  <c r="H35" i="65" s="1"/>
  <c r="I35" i="65" s="1"/>
  <c r="J35" i="65" s="1"/>
  <c r="K35" i="65" s="1"/>
  <c r="L36" i="65"/>
  <c r="M36" i="65" s="1"/>
  <c r="C36" i="65"/>
  <c r="N36" i="65" l="1"/>
  <c r="U36" i="65" s="1"/>
  <c r="AB33" i="65"/>
  <c r="AC33" i="65" s="1"/>
  <c r="Y34" i="65"/>
  <c r="AO36" i="63" a="1"/>
  <c r="AO36" i="63" s="1"/>
  <c r="D36" i="65"/>
  <c r="E36" i="65" s="1"/>
  <c r="F36" i="65" s="1"/>
  <c r="G36" i="65" s="1"/>
  <c r="H36" i="65" s="1"/>
  <c r="I36" i="65" s="1"/>
  <c r="J36" i="65" s="1"/>
  <c r="K36" i="65" s="1"/>
  <c r="AE35" i="65"/>
  <c r="AH35" i="65" s="1"/>
  <c r="R35" i="65"/>
  <c r="S35" i="65" s="1"/>
  <c r="O35" i="65" s="1"/>
  <c r="P35" i="65" s="1"/>
  <c r="AV35" i="65"/>
  <c r="Q35" i="65"/>
  <c r="C37" i="65"/>
  <c r="L37" i="65"/>
  <c r="M37" i="65" s="1"/>
  <c r="AD33" i="65" l="1"/>
  <c r="AM33" i="65" s="1"/>
  <c r="AF33" i="65"/>
  <c r="AG33" i="65" s="1"/>
  <c r="N37" i="65"/>
  <c r="U37" i="65" s="1"/>
  <c r="AB34" i="65"/>
  <c r="AC34" i="65" s="1"/>
  <c r="Y35" i="65"/>
  <c r="AO37" i="63" a="1"/>
  <c r="AO37" i="63" s="1"/>
  <c r="B39" i="65" s="1"/>
  <c r="AE36" i="65"/>
  <c r="AH36" i="65" s="1"/>
  <c r="Q36" i="65"/>
  <c r="R36" i="65"/>
  <c r="S36" i="65" s="1"/>
  <c r="AV36" i="65"/>
  <c r="D37" i="65"/>
  <c r="E37" i="65" s="1"/>
  <c r="F37" i="65" s="1"/>
  <c r="G37" i="65" s="1"/>
  <c r="H37" i="65" s="1"/>
  <c r="I37" i="65" s="1"/>
  <c r="J37" i="65" s="1"/>
  <c r="K37" i="65" s="1"/>
  <c r="B38" i="65"/>
  <c r="AD34" i="65" l="1"/>
  <c r="AM34" i="65" s="1"/>
  <c r="AF34" i="65"/>
  <c r="AG34" i="65" s="1"/>
  <c r="O36" i="65"/>
  <c r="P36" i="65" s="1"/>
  <c r="Y36" i="65" s="1"/>
  <c r="AB36" i="65" s="1"/>
  <c r="AC36" i="65" s="1"/>
  <c r="AB35" i="65"/>
  <c r="AC35" i="65" s="1"/>
  <c r="AO38" i="63" a="1"/>
  <c r="AO38" i="63" s="1"/>
  <c r="B40" i="65" s="1"/>
  <c r="AV37" i="65"/>
  <c r="AE37" i="65"/>
  <c r="AH37" i="65" s="1"/>
  <c r="R37" i="65"/>
  <c r="S37" i="65" s="1"/>
  <c r="Q37" i="65"/>
  <c r="C38" i="65"/>
  <c r="L38" i="65"/>
  <c r="M38" i="65" s="1"/>
  <c r="L39" i="65"/>
  <c r="M39" i="65" s="1"/>
  <c r="C39" i="65"/>
  <c r="AD36" i="65" l="1"/>
  <c r="AM36" i="65" s="1"/>
  <c r="AF36" i="65"/>
  <c r="AG36" i="65" s="1"/>
  <c r="AD35" i="65"/>
  <c r="AM35" i="65" s="1"/>
  <c r="AF35" i="65"/>
  <c r="AG35" i="65" s="1"/>
  <c r="O37" i="65"/>
  <c r="P37" i="65" s="1"/>
  <c r="Y37" i="65" s="1"/>
  <c r="AB37" i="65" s="1"/>
  <c r="AC37" i="65" s="1"/>
  <c r="N39" i="65"/>
  <c r="U39" i="65" s="1"/>
  <c r="N38" i="65"/>
  <c r="U38" i="65" s="1"/>
  <c r="D38" i="65"/>
  <c r="E38" i="65" s="1"/>
  <c r="F38" i="65" s="1"/>
  <c r="G38" i="65" s="1"/>
  <c r="H38" i="65" s="1"/>
  <c r="I38" i="65" s="1"/>
  <c r="J38" i="65" s="1"/>
  <c r="K38" i="65" s="1"/>
  <c r="AO39" i="63" a="1"/>
  <c r="AO39" i="63" s="1"/>
  <c r="B41" i="65" s="1"/>
  <c r="D39" i="65"/>
  <c r="E39" i="65" s="1"/>
  <c r="F39" i="65" s="1"/>
  <c r="G39" i="65" s="1"/>
  <c r="H39" i="65" s="1"/>
  <c r="I39" i="65" s="1"/>
  <c r="J39" i="65" s="1"/>
  <c r="K39" i="65" s="1"/>
  <c r="L40" i="65"/>
  <c r="M40" i="65" s="1"/>
  <c r="C40" i="65"/>
  <c r="AD37" i="65" l="1"/>
  <c r="AM37" i="65" s="1"/>
  <c r="AF37" i="65"/>
  <c r="AG37" i="65" s="1"/>
  <c r="N40" i="65"/>
  <c r="AE38" i="65"/>
  <c r="AH38" i="65" s="1"/>
  <c r="R38" i="65"/>
  <c r="S38" i="65" s="1"/>
  <c r="O38" i="65" s="1"/>
  <c r="P38" i="65" s="1"/>
  <c r="Q38" i="65"/>
  <c r="AV38" i="65"/>
  <c r="C41" i="65"/>
  <c r="L41" i="65"/>
  <c r="M41" i="65" s="1"/>
  <c r="D40" i="65"/>
  <c r="E40" i="65" s="1"/>
  <c r="F40" i="65" s="1"/>
  <c r="G40" i="65" s="1"/>
  <c r="H40" i="65" s="1"/>
  <c r="I40" i="65" s="1"/>
  <c r="J40" i="65" s="1"/>
  <c r="K40" i="65" s="1"/>
  <c r="AE39" i="65"/>
  <c r="AH39" i="65"/>
  <c r="AV39" i="65"/>
  <c r="Q39" i="65"/>
  <c r="R39" i="65"/>
  <c r="S39" i="65" s="1"/>
  <c r="AO40" i="63" a="1"/>
  <c r="AO40" i="63" s="1"/>
  <c r="B42" i="65" s="1"/>
  <c r="O39" i="65" l="1"/>
  <c r="P39" i="65" s="1"/>
  <c r="Y39" i="65" s="1"/>
  <c r="AB39" i="65" s="1"/>
  <c r="AC39" i="65" s="1"/>
  <c r="U40" i="65"/>
  <c r="R40" i="65"/>
  <c r="S40" i="65" s="1"/>
  <c r="AV40" i="65"/>
  <c r="N41" i="65"/>
  <c r="U41" i="65" s="1"/>
  <c r="Q40" i="65"/>
  <c r="AE40" i="65"/>
  <c r="AH40" i="65" s="1"/>
  <c r="Y38" i="65"/>
  <c r="AB38" i="65" s="1"/>
  <c r="AC38" i="65" s="1"/>
  <c r="L42" i="65"/>
  <c r="M42" i="65" s="1"/>
  <c r="C42" i="65"/>
  <c r="D41" i="65"/>
  <c r="E41" i="65" s="1"/>
  <c r="F41" i="65" s="1"/>
  <c r="G41" i="65" s="1"/>
  <c r="H41" i="65" s="1"/>
  <c r="I41" i="65" s="1"/>
  <c r="J41" i="65" s="1"/>
  <c r="K41" i="65" s="1"/>
  <c r="AO41" i="63" a="1"/>
  <c r="AO41" i="63" s="1"/>
  <c r="B43" i="65" s="1"/>
  <c r="AD39" i="65" l="1"/>
  <c r="AM39" i="65" s="1"/>
  <c r="AF39" i="65"/>
  <c r="AG39" i="65" s="1"/>
  <c r="O40" i="65"/>
  <c r="P40" i="65" s="1"/>
  <c r="Y40" i="65" s="1"/>
  <c r="AB40" i="65" s="1"/>
  <c r="AD38" i="65"/>
  <c r="AM38" i="65" s="1"/>
  <c r="AF38" i="65"/>
  <c r="N42" i="65"/>
  <c r="U42" i="65" s="1"/>
  <c r="AG38" i="65"/>
  <c r="L43" i="65"/>
  <c r="M43" i="65" s="1"/>
  <c r="C43" i="65"/>
  <c r="Q41" i="65"/>
  <c r="R41" i="65"/>
  <c r="S41" i="65" s="1"/>
  <c r="O41" i="65" s="1"/>
  <c r="P41" i="65" s="1"/>
  <c r="AE41" i="65"/>
  <c r="AH41" i="65" s="1"/>
  <c r="AV41" i="65"/>
  <c r="D42" i="65"/>
  <c r="E42" i="65" s="1"/>
  <c r="F42" i="65" s="1"/>
  <c r="G42" i="65" s="1"/>
  <c r="H42" i="65" s="1"/>
  <c r="I42" i="65" s="1"/>
  <c r="J42" i="65" s="1"/>
  <c r="K42" i="65" s="1"/>
  <c r="AO42" i="63" a="1"/>
  <c r="AO42" i="63" s="1"/>
  <c r="B44" i="65" s="1"/>
  <c r="N43" i="65" l="1"/>
  <c r="U43" i="65" s="1"/>
  <c r="Y41" i="65"/>
  <c r="AB41" i="65" s="1"/>
  <c r="AC41" i="65" s="1"/>
  <c r="AC40" i="65"/>
  <c r="L44" i="65"/>
  <c r="M44" i="65" s="1"/>
  <c r="C44" i="65"/>
  <c r="AE42" i="65"/>
  <c r="AH42" i="65" s="1"/>
  <c r="Q42" i="65"/>
  <c r="AV42" i="65"/>
  <c r="R42" i="65"/>
  <c r="S42" i="65" s="1"/>
  <c r="O42" i="65" s="1"/>
  <c r="P42" i="65" s="1"/>
  <c r="AO43" i="63" a="1"/>
  <c r="AO43" i="63" s="1"/>
  <c r="B45" i="65" s="1"/>
  <c r="D43" i="65"/>
  <c r="E43" i="65" s="1"/>
  <c r="F43" i="65" s="1"/>
  <c r="G43" i="65" s="1"/>
  <c r="H43" i="65" s="1"/>
  <c r="I43" i="65" s="1"/>
  <c r="J43" i="65" s="1"/>
  <c r="K43" i="65" s="1"/>
  <c r="AD40" i="65" l="1"/>
  <c r="AM40" i="65" s="1"/>
  <c r="AF40" i="65"/>
  <c r="AG40" i="65" s="1"/>
  <c r="AD41" i="65"/>
  <c r="AM41" i="65" s="1"/>
  <c r="AF41" i="65"/>
  <c r="N44" i="65"/>
  <c r="U44" i="65" s="1"/>
  <c r="AG41" i="65"/>
  <c r="Y42" i="65"/>
  <c r="AB42" i="65" s="1"/>
  <c r="AC42" i="65" s="1"/>
  <c r="C45" i="65"/>
  <c r="L45" i="65"/>
  <c r="M45" i="65" s="1"/>
  <c r="AO44" i="63" a="1"/>
  <c r="AO44" i="63" s="1"/>
  <c r="B46" i="65" s="1"/>
  <c r="D44" i="65"/>
  <c r="E44" i="65" s="1"/>
  <c r="F44" i="65" s="1"/>
  <c r="G44" i="65" s="1"/>
  <c r="H44" i="65" s="1"/>
  <c r="I44" i="65" s="1"/>
  <c r="J44" i="65" s="1"/>
  <c r="K44" i="65" s="1"/>
  <c r="AV43" i="65"/>
  <c r="Q43" i="65"/>
  <c r="R43" i="65"/>
  <c r="S43" i="65" s="1"/>
  <c r="AE43" i="65"/>
  <c r="AH43" i="65" s="1"/>
  <c r="AD42" i="65" l="1"/>
  <c r="AM42" i="65" s="1"/>
  <c r="AF42" i="65"/>
  <c r="O43" i="65"/>
  <c r="P43" i="65" s="1"/>
  <c r="Y43" i="65" s="1"/>
  <c r="AB43" i="65" s="1"/>
  <c r="AC43" i="65" s="1"/>
  <c r="N45" i="65"/>
  <c r="U45" i="65" s="1"/>
  <c r="AG42" i="65"/>
  <c r="AO45" i="63" a="1"/>
  <c r="AO45" i="63" s="1"/>
  <c r="B47" i="65" s="1"/>
  <c r="AH44" i="65"/>
  <c r="R44" i="65"/>
  <c r="S44" i="65" s="1"/>
  <c r="O44" i="65" s="1"/>
  <c r="P44" i="65" s="1"/>
  <c r="AV44" i="65"/>
  <c r="Q44" i="65"/>
  <c r="AE44" i="65"/>
  <c r="C46" i="65"/>
  <c r="L46" i="65"/>
  <c r="M46" i="65" s="1"/>
  <c r="D45" i="65"/>
  <c r="E45" i="65" s="1"/>
  <c r="F45" i="65" s="1"/>
  <c r="G45" i="65" s="1"/>
  <c r="H45" i="65" s="1"/>
  <c r="I45" i="65" s="1"/>
  <c r="J45" i="65" s="1"/>
  <c r="K45" i="65" s="1"/>
  <c r="AD43" i="65" l="1"/>
  <c r="AM43" i="65" s="1"/>
  <c r="AF43" i="65"/>
  <c r="AG43" i="65" s="1"/>
  <c r="N46" i="65"/>
  <c r="U46" i="65" s="1"/>
  <c r="Y44" i="65"/>
  <c r="AB44" i="65" s="1"/>
  <c r="AC44" i="65" s="1"/>
  <c r="AO46" i="63" a="1"/>
  <c r="AO46" i="63" s="1"/>
  <c r="B48" i="65" s="1"/>
  <c r="L47" i="65"/>
  <c r="M47" i="65" s="1"/>
  <c r="C47" i="65"/>
  <c r="R45" i="65"/>
  <c r="S45" i="65" s="1"/>
  <c r="O45" i="65" s="1"/>
  <c r="P45" i="65" s="1"/>
  <c r="AV45" i="65"/>
  <c r="Q45" i="65"/>
  <c r="AE45" i="65"/>
  <c r="AH45" i="65" s="1"/>
  <c r="D46" i="65"/>
  <c r="E46" i="65" s="1"/>
  <c r="F46" i="65" s="1"/>
  <c r="G46" i="65" s="1"/>
  <c r="H46" i="65" s="1"/>
  <c r="I46" i="65" s="1"/>
  <c r="J46" i="65" s="1"/>
  <c r="K46" i="65" s="1"/>
  <c r="AD44" i="65" l="1"/>
  <c r="AM44" i="65" s="1"/>
  <c r="AF44" i="65"/>
  <c r="N47" i="65"/>
  <c r="U47" i="65" s="1"/>
  <c r="Y45" i="65"/>
  <c r="AB45" i="65" s="1"/>
  <c r="AC45" i="65" s="1"/>
  <c r="AG44" i="65"/>
  <c r="Q46" i="65"/>
  <c r="R46" i="65"/>
  <c r="S46" i="65" s="1"/>
  <c r="O46" i="65" s="1"/>
  <c r="P46" i="65" s="1"/>
  <c r="AE46" i="65"/>
  <c r="AH46" i="65" s="1"/>
  <c r="AV46" i="65"/>
  <c r="D47" i="65"/>
  <c r="E47" i="65" s="1"/>
  <c r="F47" i="65" s="1"/>
  <c r="G47" i="65" s="1"/>
  <c r="H47" i="65" s="1"/>
  <c r="I47" i="65" s="1"/>
  <c r="J47" i="65" s="1"/>
  <c r="K47" i="65" s="1"/>
  <c r="AO47" i="63" a="1"/>
  <c r="AO47" i="63" s="1"/>
  <c r="B49" i="65" s="1"/>
  <c r="L48" i="65"/>
  <c r="M48" i="65" s="1"/>
  <c r="C48" i="65"/>
  <c r="AD45" i="65" l="1"/>
  <c r="AM45" i="65" s="1"/>
  <c r="AF45" i="65"/>
  <c r="AG45" i="65"/>
  <c r="N48" i="65"/>
  <c r="U48" i="65" s="1"/>
  <c r="Y46" i="65"/>
  <c r="AO48" i="63" a="1"/>
  <c r="AO48" i="63" s="1"/>
  <c r="B50" i="65" s="1"/>
  <c r="L49" i="65"/>
  <c r="M49" i="65" s="1"/>
  <c r="C49" i="65"/>
  <c r="AV47" i="65"/>
  <c r="Q47" i="65"/>
  <c r="R47" i="65"/>
  <c r="S47" i="65" s="1"/>
  <c r="O47" i="65" s="1"/>
  <c r="P47" i="65" s="1"/>
  <c r="AE47" i="65"/>
  <c r="AH47" i="65" s="1"/>
  <c r="D48" i="65"/>
  <c r="E48" i="65" s="1"/>
  <c r="F48" i="65" s="1"/>
  <c r="G48" i="65" s="1"/>
  <c r="H48" i="65" s="1"/>
  <c r="I48" i="65" s="1"/>
  <c r="J48" i="65" s="1"/>
  <c r="K48" i="65" s="1"/>
  <c r="N49" i="65" l="1"/>
  <c r="U49" i="65" s="1"/>
  <c r="AB46" i="65"/>
  <c r="AC46" i="65" s="1"/>
  <c r="Y47" i="65"/>
  <c r="AV48" i="65"/>
  <c r="AE48" i="65"/>
  <c r="AH48" i="65" s="1"/>
  <c r="Q48" i="65"/>
  <c r="R48" i="65"/>
  <c r="S48" i="65" s="1"/>
  <c r="O48" i="65" s="1"/>
  <c r="P48" i="65" s="1"/>
  <c r="D49" i="65"/>
  <c r="E49" i="65" s="1"/>
  <c r="F49" i="65" s="1"/>
  <c r="G49" i="65" s="1"/>
  <c r="H49" i="65" s="1"/>
  <c r="I49" i="65" s="1"/>
  <c r="J49" i="65" s="1"/>
  <c r="K49" i="65" s="1"/>
  <c r="AO49" i="63" a="1"/>
  <c r="AO49" i="63" s="1"/>
  <c r="B51" i="65" s="1"/>
  <c r="L50" i="65"/>
  <c r="M50" i="65" s="1"/>
  <c r="C50" i="65"/>
  <c r="AD46" i="65" l="1"/>
  <c r="AM46" i="65" s="1"/>
  <c r="AF46" i="65"/>
  <c r="AG46" i="65" s="1"/>
  <c r="N50" i="65"/>
  <c r="U50" i="65" s="1"/>
  <c r="AB47" i="65"/>
  <c r="AC47" i="65" s="1"/>
  <c r="Y48" i="65"/>
  <c r="AB48" i="65" s="1"/>
  <c r="AC48" i="65" s="1"/>
  <c r="D50" i="65"/>
  <c r="E50" i="65" s="1"/>
  <c r="F50" i="65" s="1"/>
  <c r="G50" i="65" s="1"/>
  <c r="H50" i="65" s="1"/>
  <c r="I50" i="65" s="1"/>
  <c r="J50" i="65" s="1"/>
  <c r="K50" i="65" s="1"/>
  <c r="L51" i="65"/>
  <c r="M51" i="65" s="1"/>
  <c r="C51" i="65"/>
  <c r="AO50" i="63" a="1"/>
  <c r="AO50" i="63" s="1"/>
  <c r="B52" i="65" s="1"/>
  <c r="Q49" i="65"/>
  <c r="AH49" i="65"/>
  <c r="R49" i="65"/>
  <c r="S49" i="65" s="1"/>
  <c r="AV49" i="65"/>
  <c r="AE49" i="65"/>
  <c r="AD48" i="65" l="1"/>
  <c r="AM48" i="65" s="1"/>
  <c r="AF48" i="65"/>
  <c r="AD47" i="65"/>
  <c r="AM47" i="65" s="1"/>
  <c r="AF47" i="65"/>
  <c r="AG47" i="65" s="1"/>
  <c r="O49" i="65"/>
  <c r="P49" i="65" s="1"/>
  <c r="Y49" i="65" s="1"/>
  <c r="AB49" i="65" s="1"/>
  <c r="AC49" i="65" s="1"/>
  <c r="AG48" i="65"/>
  <c r="N51" i="65"/>
  <c r="Q51" i="65" s="1"/>
  <c r="D51" i="65"/>
  <c r="E51" i="65" s="1"/>
  <c r="F51" i="65" s="1"/>
  <c r="G51" i="65" s="1"/>
  <c r="H51" i="65" s="1"/>
  <c r="I51" i="65" s="1"/>
  <c r="J51" i="65" s="1"/>
  <c r="K51" i="65" s="1"/>
  <c r="AO51" i="63" a="1"/>
  <c r="AO51" i="63" s="1"/>
  <c r="B53" i="65" s="1"/>
  <c r="Q50" i="65"/>
  <c r="AE50" i="65"/>
  <c r="R50" i="65"/>
  <c r="S50" i="65" s="1"/>
  <c r="AV50" i="65"/>
  <c r="AH50" i="65"/>
  <c r="L52" i="65"/>
  <c r="M52" i="65" s="1"/>
  <c r="C52" i="65"/>
  <c r="AD49" i="65" l="1"/>
  <c r="AM49" i="65" s="1"/>
  <c r="AF49" i="65"/>
  <c r="AG49" i="65" s="1"/>
  <c r="O50" i="65"/>
  <c r="P50" i="65" s="1"/>
  <c r="Y50" i="65" s="1"/>
  <c r="AB50" i="65" s="1"/>
  <c r="AC50" i="65" s="1"/>
  <c r="N52" i="65"/>
  <c r="U52" i="65" s="1"/>
  <c r="AV51" i="65"/>
  <c r="AE51" i="65"/>
  <c r="AH51" i="65" s="1"/>
  <c r="U51" i="65"/>
  <c r="R51" i="65"/>
  <c r="S51" i="65" s="1"/>
  <c r="L53" i="65"/>
  <c r="M53" i="65" s="1"/>
  <c r="C53" i="65"/>
  <c r="AO52" i="63" a="1"/>
  <c r="AO52" i="63" s="1"/>
  <c r="B54" i="65" s="1"/>
  <c r="D52" i="65"/>
  <c r="E52" i="65" s="1"/>
  <c r="F52" i="65" s="1"/>
  <c r="G52" i="65" s="1"/>
  <c r="H52" i="65" s="1"/>
  <c r="I52" i="65" s="1"/>
  <c r="J52" i="65" s="1"/>
  <c r="K52" i="65" s="1"/>
  <c r="AD50" i="65" l="1"/>
  <c r="AM50" i="65" s="1"/>
  <c r="AF50" i="65"/>
  <c r="AG50" i="65" s="1"/>
  <c r="O51" i="65"/>
  <c r="P51" i="65" s="1"/>
  <c r="Y51" i="65" s="1"/>
  <c r="AB51" i="65" s="1"/>
  <c r="AC51" i="65" s="1"/>
  <c r="N53" i="65"/>
  <c r="U53" i="65" s="1"/>
  <c r="C54" i="65"/>
  <c r="L54" i="65"/>
  <c r="M54" i="65" s="1"/>
  <c r="D53" i="65"/>
  <c r="E53" i="65" s="1"/>
  <c r="F53" i="65" s="1"/>
  <c r="G53" i="65" s="1"/>
  <c r="H53" i="65" s="1"/>
  <c r="I53" i="65" s="1"/>
  <c r="J53" i="65" s="1"/>
  <c r="K53" i="65" s="1"/>
  <c r="AO53" i="63" a="1"/>
  <c r="AO53" i="63" s="1"/>
  <c r="B55" i="65" s="1"/>
  <c r="Q52" i="65"/>
  <c r="AV52" i="65"/>
  <c r="AE52" i="65"/>
  <c r="AH52" i="65" s="1"/>
  <c r="R52" i="65"/>
  <c r="S52" i="65" s="1"/>
  <c r="O52" i="65" s="1"/>
  <c r="P52" i="65" s="1"/>
  <c r="AD51" i="65" l="1"/>
  <c r="AM51" i="65" s="1"/>
  <c r="AF51" i="65"/>
  <c r="AG51" i="65" s="1"/>
  <c r="N54" i="65"/>
  <c r="U54" i="65" s="1"/>
  <c r="Y52" i="65"/>
  <c r="AB52" i="65" s="1"/>
  <c r="AC52" i="65" s="1"/>
  <c r="L55" i="65"/>
  <c r="M55" i="65" s="1"/>
  <c r="C55" i="65"/>
  <c r="AE53" i="65"/>
  <c r="AV53" i="65"/>
  <c r="AH53" i="65"/>
  <c r="Q53" i="65"/>
  <c r="R53" i="65"/>
  <c r="S53" i="65" s="1"/>
  <c r="O53" i="65" s="1"/>
  <c r="P53" i="65" s="1"/>
  <c r="D54" i="65"/>
  <c r="E54" i="65" s="1"/>
  <c r="F54" i="65" s="1"/>
  <c r="G54" i="65" s="1"/>
  <c r="H54" i="65" s="1"/>
  <c r="I54" i="65" s="1"/>
  <c r="J54" i="65" s="1"/>
  <c r="K54" i="65" s="1"/>
  <c r="AO54" i="63" a="1"/>
  <c r="AO54" i="63" s="1"/>
  <c r="B56" i="65" s="1"/>
  <c r="AD52" i="65" l="1"/>
  <c r="AM52" i="65" s="1"/>
  <c r="AF52" i="65"/>
  <c r="N55" i="65"/>
  <c r="U55" i="65" s="1"/>
  <c r="AG52" i="65"/>
  <c r="Y53" i="65"/>
  <c r="D55" i="65"/>
  <c r="E55" i="65" s="1"/>
  <c r="F55" i="65" s="1"/>
  <c r="G55" i="65" s="1"/>
  <c r="H55" i="65" s="1"/>
  <c r="I55" i="65" s="1"/>
  <c r="J55" i="65" s="1"/>
  <c r="K55" i="65" s="1"/>
  <c r="C56" i="65"/>
  <c r="L56" i="65"/>
  <c r="M56" i="65" s="1"/>
  <c r="Q54" i="65"/>
  <c r="R54" i="65"/>
  <c r="S54" i="65" s="1"/>
  <c r="O54" i="65" s="1"/>
  <c r="P54" i="65" s="1"/>
  <c r="AV54" i="65"/>
  <c r="AE54" i="65"/>
  <c r="AH54" i="65" s="1"/>
  <c r="AO55" i="63" a="1"/>
  <c r="AO55" i="63" s="1"/>
  <c r="B57" i="65" s="1"/>
  <c r="N56" i="65" l="1"/>
  <c r="U56" i="65" s="1"/>
  <c r="AB53" i="65"/>
  <c r="AC53" i="65" s="1"/>
  <c r="Y54" i="65"/>
  <c r="L57" i="65"/>
  <c r="M57" i="65" s="1"/>
  <c r="C57" i="65"/>
  <c r="AV55" i="65"/>
  <c r="R55" i="65"/>
  <c r="S55" i="65" s="1"/>
  <c r="Q55" i="65"/>
  <c r="AE55" i="65"/>
  <c r="AH55" i="65" s="1"/>
  <c r="D56" i="65"/>
  <c r="E56" i="65" s="1"/>
  <c r="F56" i="65" s="1"/>
  <c r="G56" i="65" s="1"/>
  <c r="H56" i="65" s="1"/>
  <c r="I56" i="65" s="1"/>
  <c r="J56" i="65" s="1"/>
  <c r="K56" i="65" s="1"/>
  <c r="AO56" i="63" a="1"/>
  <c r="AO56" i="63" s="1"/>
  <c r="B58" i="65" s="1"/>
  <c r="O55" i="65" l="1"/>
  <c r="P55" i="65" s="1"/>
  <c r="Y55" i="65" s="1"/>
  <c r="AB55" i="65" s="1"/>
  <c r="AC55" i="65" s="1"/>
  <c r="AD53" i="65"/>
  <c r="AM53" i="65" s="1"/>
  <c r="AF53" i="65"/>
  <c r="AG53" i="65" s="1"/>
  <c r="N57" i="65"/>
  <c r="U57" i="65" s="1"/>
  <c r="AB54" i="65"/>
  <c r="AC54" i="65" s="1"/>
  <c r="L58" i="65"/>
  <c r="M58" i="65" s="1"/>
  <c r="C58" i="65"/>
  <c r="D57" i="65"/>
  <c r="E57" i="65" s="1"/>
  <c r="F57" i="65" s="1"/>
  <c r="G57" i="65" s="1"/>
  <c r="H57" i="65" s="1"/>
  <c r="I57" i="65" s="1"/>
  <c r="J57" i="65" s="1"/>
  <c r="K57" i="65" s="1"/>
  <c r="R56" i="65"/>
  <c r="S56" i="65" s="1"/>
  <c r="O56" i="65" s="1"/>
  <c r="P56" i="65" s="1"/>
  <c r="Q56" i="65"/>
  <c r="AE56" i="65"/>
  <c r="AH56" i="65" s="1"/>
  <c r="AV56" i="65"/>
  <c r="AO57" i="63" a="1"/>
  <c r="AO57" i="63" s="1"/>
  <c r="B59" i="65" s="1"/>
  <c r="AD55" i="65" l="1"/>
  <c r="AM55" i="65" s="1"/>
  <c r="AF55" i="65"/>
  <c r="AG55" i="65" s="1"/>
  <c r="AD54" i="65"/>
  <c r="AM54" i="65" s="1"/>
  <c r="AF54" i="65"/>
  <c r="AG54" i="65" s="1"/>
  <c r="N58" i="65"/>
  <c r="U58" i="65" s="1"/>
  <c r="Y56" i="65"/>
  <c r="AB56" i="65" s="1"/>
  <c r="AC56" i="65" s="1"/>
  <c r="C59" i="65"/>
  <c r="L59" i="65"/>
  <c r="M59" i="65" s="1"/>
  <c r="AH57" i="65"/>
  <c r="R57" i="65"/>
  <c r="S57" i="65" s="1"/>
  <c r="O57" i="65" s="1"/>
  <c r="P57" i="65" s="1"/>
  <c r="Q57" i="65"/>
  <c r="AV57" i="65"/>
  <c r="AE57" i="65"/>
  <c r="D58" i="65"/>
  <c r="E58" i="65" s="1"/>
  <c r="F58" i="65" s="1"/>
  <c r="G58" i="65" s="1"/>
  <c r="H58" i="65" s="1"/>
  <c r="I58" i="65" s="1"/>
  <c r="J58" i="65" s="1"/>
  <c r="K58" i="65" s="1"/>
  <c r="AO58" i="63" a="1"/>
  <c r="AO58" i="63" s="1"/>
  <c r="B60" i="65" s="1"/>
  <c r="AD56" i="65" l="1"/>
  <c r="AM56" i="65" s="1"/>
  <c r="AF56" i="65"/>
  <c r="N59" i="65"/>
  <c r="U59" i="65" s="1"/>
  <c r="Y57" i="65"/>
  <c r="AB57" i="65" s="1"/>
  <c r="AC57" i="65" s="1"/>
  <c r="AG56" i="65"/>
  <c r="AO59" i="63" a="1"/>
  <c r="AO59" i="63" s="1"/>
  <c r="B61" i="65" s="1"/>
  <c r="D59" i="65"/>
  <c r="E59" i="65" s="1"/>
  <c r="F59" i="65" s="1"/>
  <c r="G59" i="65" s="1"/>
  <c r="H59" i="65" s="1"/>
  <c r="I59" i="65" s="1"/>
  <c r="J59" i="65" s="1"/>
  <c r="K59" i="65" s="1"/>
  <c r="L60" i="65"/>
  <c r="M60" i="65" s="1"/>
  <c r="C60" i="65"/>
  <c r="AV58" i="65"/>
  <c r="AE58" i="65"/>
  <c r="AH58" i="65" s="1"/>
  <c r="R58" i="65"/>
  <c r="S58" i="65" s="1"/>
  <c r="O58" i="65" s="1"/>
  <c r="P58" i="65" s="1"/>
  <c r="Q58" i="65"/>
  <c r="AD57" i="65" l="1"/>
  <c r="AM57" i="65" s="1"/>
  <c r="AF57" i="65"/>
  <c r="N60" i="65"/>
  <c r="U60" i="65" s="1"/>
  <c r="AG57" i="65"/>
  <c r="Y58" i="65"/>
  <c r="AB58" i="65" s="1"/>
  <c r="AC58" i="65" s="1"/>
  <c r="R59" i="65"/>
  <c r="S59" i="65" s="1"/>
  <c r="AV59" i="65"/>
  <c r="Q59" i="65"/>
  <c r="AE59" i="65"/>
  <c r="AH59" i="65" s="1"/>
  <c r="D60" i="65"/>
  <c r="E60" i="65" s="1"/>
  <c r="F60" i="65" s="1"/>
  <c r="G60" i="65" s="1"/>
  <c r="H60" i="65" s="1"/>
  <c r="I60" i="65" s="1"/>
  <c r="J60" i="65" s="1"/>
  <c r="K60" i="65" s="1"/>
  <c r="AO60" i="63" a="1"/>
  <c r="AO60" i="63" s="1"/>
  <c r="B62" i="65" s="1"/>
  <c r="L61" i="65"/>
  <c r="M61" i="65" s="1"/>
  <c r="C61" i="65"/>
  <c r="AD58" i="65" l="1"/>
  <c r="AM58" i="65" s="1"/>
  <c r="AF58" i="65"/>
  <c r="O59" i="65"/>
  <c r="P59" i="65" s="1"/>
  <c r="Y59" i="65" s="1"/>
  <c r="AB59" i="65" s="1"/>
  <c r="AC59" i="65" s="1"/>
  <c r="N61" i="65"/>
  <c r="U61" i="65" s="1"/>
  <c r="AG58" i="65"/>
  <c r="D61" i="65"/>
  <c r="E61" i="65" s="1"/>
  <c r="F61" i="65" s="1"/>
  <c r="G61" i="65" s="1"/>
  <c r="H61" i="65" s="1"/>
  <c r="I61" i="65" s="1"/>
  <c r="J61" i="65" s="1"/>
  <c r="K61" i="65" s="1"/>
  <c r="L62" i="65"/>
  <c r="M62" i="65" s="1"/>
  <c r="C62" i="65"/>
  <c r="AV60" i="65"/>
  <c r="AE60" i="65"/>
  <c r="AH60" i="65" s="1"/>
  <c r="R60" i="65"/>
  <c r="S60" i="65" s="1"/>
  <c r="O60" i="65" s="1"/>
  <c r="P60" i="65" s="1"/>
  <c r="Q60" i="65"/>
  <c r="AO61" i="63" a="1"/>
  <c r="AO61" i="63" s="1"/>
  <c r="B63" i="65" s="1"/>
  <c r="AD59" i="65" l="1"/>
  <c r="AM59" i="65" s="1"/>
  <c r="AF59" i="65"/>
  <c r="AG59" i="65" s="1"/>
  <c r="N62" i="65"/>
  <c r="U62" i="65" s="1"/>
  <c r="Y60" i="65"/>
  <c r="AB60" i="65" s="1"/>
  <c r="AC60" i="65" s="1"/>
  <c r="L63" i="65"/>
  <c r="M63" i="65" s="1"/>
  <c r="C63" i="65"/>
  <c r="D62" i="65"/>
  <c r="E62" i="65" s="1"/>
  <c r="F62" i="65" s="1"/>
  <c r="G62" i="65" s="1"/>
  <c r="H62" i="65" s="1"/>
  <c r="I62" i="65" s="1"/>
  <c r="J62" i="65" s="1"/>
  <c r="K62" i="65" s="1"/>
  <c r="AO62" i="63" a="1"/>
  <c r="AO62" i="63" s="1"/>
  <c r="B64" i="65" s="1"/>
  <c r="AH61" i="65"/>
  <c r="Q61" i="65"/>
  <c r="R61" i="65"/>
  <c r="S61" i="65" s="1"/>
  <c r="O61" i="65" s="1"/>
  <c r="P61" i="65" s="1"/>
  <c r="AE61" i="65"/>
  <c r="AV61" i="65"/>
  <c r="AD60" i="65" l="1"/>
  <c r="AM60" i="65" s="1"/>
  <c r="AF60" i="65"/>
  <c r="N63" i="65"/>
  <c r="U63" i="65" s="1"/>
  <c r="AG60" i="65"/>
  <c r="Y61" i="65"/>
  <c r="AB61" i="65" s="1"/>
  <c r="AC61" i="65" s="1"/>
  <c r="AO63" i="63" a="1"/>
  <c r="AO63" i="63" s="1"/>
  <c r="B65" i="65" s="1"/>
  <c r="R62" i="65"/>
  <c r="S62" i="65" s="1"/>
  <c r="AV62" i="65"/>
  <c r="Q62" i="65"/>
  <c r="AE62" i="65"/>
  <c r="AH62" i="65" s="1"/>
  <c r="D63" i="65"/>
  <c r="E63" i="65" s="1"/>
  <c r="F63" i="65" s="1"/>
  <c r="G63" i="65" s="1"/>
  <c r="H63" i="65" s="1"/>
  <c r="I63" i="65" s="1"/>
  <c r="J63" i="65" s="1"/>
  <c r="K63" i="65" s="1"/>
  <c r="C64" i="65"/>
  <c r="L64" i="65"/>
  <c r="M64" i="65" s="1"/>
  <c r="AD61" i="65" l="1"/>
  <c r="AM61" i="65" s="1"/>
  <c r="AF61" i="65"/>
  <c r="O62" i="65"/>
  <c r="P62" i="65" s="1"/>
  <c r="Y62" i="65" s="1"/>
  <c r="AB62" i="65" s="1"/>
  <c r="AC62" i="65" s="1"/>
  <c r="N64" i="65"/>
  <c r="U64" i="65" s="1"/>
  <c r="AG61" i="65"/>
  <c r="D64" i="65"/>
  <c r="E64" i="65" s="1"/>
  <c r="F64" i="65" s="1"/>
  <c r="G64" i="65" s="1"/>
  <c r="H64" i="65" s="1"/>
  <c r="I64" i="65" s="1"/>
  <c r="J64" i="65" s="1"/>
  <c r="K64" i="65" s="1"/>
  <c r="R63" i="65"/>
  <c r="S63" i="65" s="1"/>
  <c r="AE63" i="65"/>
  <c r="AH63" i="65" s="1"/>
  <c r="AV63" i="65"/>
  <c r="Q63" i="65"/>
  <c r="AO64" i="63" a="1"/>
  <c r="AO64" i="63" s="1"/>
  <c r="B66" i="65" s="1"/>
  <c r="L65" i="65"/>
  <c r="M65" i="65" s="1"/>
  <c r="C65" i="65"/>
  <c r="AD62" i="65" l="1"/>
  <c r="AM62" i="65" s="1"/>
  <c r="AF62" i="65"/>
  <c r="AG62" i="65" s="1"/>
  <c r="O63" i="65"/>
  <c r="P63" i="65" s="1"/>
  <c r="Y63" i="65" s="1"/>
  <c r="AB63" i="65" s="1"/>
  <c r="AC63" i="65" s="1"/>
  <c r="N65" i="65"/>
  <c r="U65" i="65" s="1"/>
  <c r="C66" i="65"/>
  <c r="L66" i="65"/>
  <c r="M66" i="65" s="1"/>
  <c r="AV64" i="65"/>
  <c r="Q64" i="65"/>
  <c r="AE64" i="65"/>
  <c r="AH64" i="65" s="1"/>
  <c r="R64" i="65"/>
  <c r="S64" i="65" s="1"/>
  <c r="O64" i="65" s="1"/>
  <c r="P64" i="65" s="1"/>
  <c r="AO65" i="63" a="1"/>
  <c r="AO65" i="63" s="1"/>
  <c r="B67" i="65" s="1"/>
  <c r="D65" i="65"/>
  <c r="E65" i="65" s="1"/>
  <c r="F65" i="65" s="1"/>
  <c r="G65" i="65" s="1"/>
  <c r="H65" i="65" s="1"/>
  <c r="I65" i="65" s="1"/>
  <c r="J65" i="65" s="1"/>
  <c r="K65" i="65" s="1"/>
  <c r="AD63" i="65" l="1"/>
  <c r="AM63" i="65" s="1"/>
  <c r="AF63" i="65"/>
  <c r="AG63" i="65" s="1"/>
  <c r="N66" i="65"/>
  <c r="U66" i="65" s="1"/>
  <c r="Y64" i="65"/>
  <c r="AB64" i="65" s="1"/>
  <c r="AC64" i="65" s="1"/>
  <c r="L67" i="65"/>
  <c r="M67" i="65" s="1"/>
  <c r="C67" i="65"/>
  <c r="AO66" i="63" a="1"/>
  <c r="AO66" i="63" s="1"/>
  <c r="B68" i="65" s="1"/>
  <c r="R65" i="65"/>
  <c r="S65" i="65" s="1"/>
  <c r="O65" i="65" s="1"/>
  <c r="P65" i="65" s="1"/>
  <c r="AE65" i="65"/>
  <c r="AH65" i="65" s="1"/>
  <c r="AV65" i="65"/>
  <c r="Q65" i="65"/>
  <c r="D66" i="65"/>
  <c r="E66" i="65" s="1"/>
  <c r="F66" i="65" s="1"/>
  <c r="G66" i="65" s="1"/>
  <c r="H66" i="65" s="1"/>
  <c r="I66" i="65" s="1"/>
  <c r="J66" i="65" s="1"/>
  <c r="K66" i="65" s="1"/>
  <c r="AD64" i="65" l="1"/>
  <c r="AM64" i="65" s="1"/>
  <c r="AF64" i="65"/>
  <c r="N67" i="65"/>
  <c r="U67" i="65" s="1"/>
  <c r="AG64" i="65"/>
  <c r="Y65" i="65"/>
  <c r="R66" i="65"/>
  <c r="S66" i="65" s="1"/>
  <c r="O66" i="65" s="1"/>
  <c r="P66" i="65" s="1"/>
  <c r="AV66" i="65"/>
  <c r="Q66" i="65"/>
  <c r="AE66" i="65"/>
  <c r="AH66" i="65" s="1"/>
  <c r="D67" i="65"/>
  <c r="E67" i="65" s="1"/>
  <c r="F67" i="65" s="1"/>
  <c r="G67" i="65" s="1"/>
  <c r="H67" i="65" s="1"/>
  <c r="I67" i="65" s="1"/>
  <c r="J67" i="65" s="1"/>
  <c r="K67" i="65" s="1"/>
  <c r="L68" i="65"/>
  <c r="M68" i="65" s="1"/>
  <c r="C68" i="65"/>
  <c r="AO67" i="63" a="1"/>
  <c r="AO67" i="63" s="1"/>
  <c r="B69" i="65" s="1"/>
  <c r="N68" i="65" l="1"/>
  <c r="U68" i="65" s="1"/>
  <c r="AB65" i="65"/>
  <c r="AC65" i="65" s="1"/>
  <c r="Y66" i="65"/>
  <c r="AB66" i="65" s="1"/>
  <c r="AC66" i="65" s="1"/>
  <c r="AO68" i="63" a="1"/>
  <c r="AO68" i="63" s="1"/>
  <c r="B70" i="65" s="1"/>
  <c r="L69" i="65"/>
  <c r="M69" i="65" s="1"/>
  <c r="C69" i="65"/>
  <c r="D68" i="65"/>
  <c r="E68" i="65" s="1"/>
  <c r="F68" i="65" s="1"/>
  <c r="G68" i="65" s="1"/>
  <c r="H68" i="65" s="1"/>
  <c r="I68" i="65" s="1"/>
  <c r="J68" i="65" s="1"/>
  <c r="K68" i="65" s="1"/>
  <c r="Q67" i="65"/>
  <c r="AE67" i="65"/>
  <c r="AH67" i="65" s="1"/>
  <c r="AV67" i="65"/>
  <c r="R67" i="65"/>
  <c r="S67" i="65" s="1"/>
  <c r="O67" i="65" s="1"/>
  <c r="P67" i="65" s="1"/>
  <c r="AD66" i="65" l="1"/>
  <c r="AM66" i="65" s="1"/>
  <c r="AF66" i="65"/>
  <c r="AD65" i="65"/>
  <c r="AM65" i="65" s="1"/>
  <c r="AF65" i="65"/>
  <c r="AG65" i="65" s="1"/>
  <c r="N69" i="65"/>
  <c r="U69" i="65" s="1"/>
  <c r="AG66" i="65"/>
  <c r="Y67" i="65"/>
  <c r="AB67" i="65" s="1"/>
  <c r="AC67" i="65" s="1"/>
  <c r="AO69" i="63" a="1"/>
  <c r="AO69" i="63" s="1"/>
  <c r="B71" i="65" s="1"/>
  <c r="D69" i="65"/>
  <c r="E69" i="65" s="1"/>
  <c r="F69" i="65" s="1"/>
  <c r="G69" i="65" s="1"/>
  <c r="H69" i="65" s="1"/>
  <c r="I69" i="65" s="1"/>
  <c r="J69" i="65" s="1"/>
  <c r="K69" i="65" s="1"/>
  <c r="Q68" i="65"/>
  <c r="AV68" i="65"/>
  <c r="AE68" i="65"/>
  <c r="AH68" i="65" s="1"/>
  <c r="R68" i="65"/>
  <c r="S68" i="65" s="1"/>
  <c r="O68" i="65" s="1"/>
  <c r="P68" i="65" s="1"/>
  <c r="C70" i="65"/>
  <c r="L70" i="65"/>
  <c r="M70" i="65" s="1"/>
  <c r="AD67" i="65" l="1"/>
  <c r="AM67" i="65" s="1"/>
  <c r="AF67" i="65"/>
  <c r="N70" i="65"/>
  <c r="U70" i="65" s="1"/>
  <c r="AG67" i="65"/>
  <c r="Y68" i="65"/>
  <c r="AB68" i="65" s="1"/>
  <c r="AC68" i="65" s="1"/>
  <c r="AE69" i="65"/>
  <c r="AH69" i="65" s="1"/>
  <c r="R69" i="65"/>
  <c r="S69" i="65" s="1"/>
  <c r="AV69" i="65"/>
  <c r="Q69" i="65"/>
  <c r="AO70" i="63" a="1"/>
  <c r="AO70" i="63" s="1"/>
  <c r="B72" i="65" s="1"/>
  <c r="D70" i="65"/>
  <c r="E70" i="65" s="1"/>
  <c r="F70" i="65" s="1"/>
  <c r="G70" i="65" s="1"/>
  <c r="H70" i="65" s="1"/>
  <c r="I70" i="65" s="1"/>
  <c r="J70" i="65" s="1"/>
  <c r="K70" i="65" s="1"/>
  <c r="C71" i="65"/>
  <c r="L71" i="65"/>
  <c r="M71" i="65" s="1"/>
  <c r="O69" i="65" l="1"/>
  <c r="P69" i="65" s="1"/>
  <c r="Y69" i="65" s="1"/>
  <c r="AB69" i="65" s="1"/>
  <c r="AC69" i="65" s="1"/>
  <c r="AD68" i="65"/>
  <c r="AM68" i="65" s="1"/>
  <c r="AF68" i="65"/>
  <c r="N71" i="65"/>
  <c r="U71" i="65" s="1"/>
  <c r="AG68" i="65"/>
  <c r="L72" i="65"/>
  <c r="M72" i="65" s="1"/>
  <c r="C72" i="65"/>
  <c r="D71" i="65"/>
  <c r="E71" i="65" s="1"/>
  <c r="F71" i="65" s="1"/>
  <c r="G71" i="65" s="1"/>
  <c r="H71" i="65" s="1"/>
  <c r="I71" i="65" s="1"/>
  <c r="J71" i="65" s="1"/>
  <c r="K71" i="65" s="1"/>
  <c r="R70" i="65"/>
  <c r="S70" i="65" s="1"/>
  <c r="O70" i="65" s="1"/>
  <c r="P70" i="65" s="1"/>
  <c r="AE70" i="65"/>
  <c r="AH70" i="65" s="1"/>
  <c r="AV70" i="65"/>
  <c r="Q70" i="65"/>
  <c r="AO71" i="63" a="1"/>
  <c r="AO71" i="63" s="1"/>
  <c r="B73" i="65" s="1"/>
  <c r="AD69" i="65" l="1"/>
  <c r="AM69" i="65" s="1"/>
  <c r="AF69" i="65"/>
  <c r="AG69" i="65" s="1"/>
  <c r="N72" i="65"/>
  <c r="U72" i="65" s="1"/>
  <c r="Y70" i="65"/>
  <c r="AB70" i="65" s="1"/>
  <c r="AC70" i="65" s="1"/>
  <c r="D72" i="65"/>
  <c r="E72" i="65" s="1"/>
  <c r="F72" i="65" s="1"/>
  <c r="G72" i="65" s="1"/>
  <c r="H72" i="65" s="1"/>
  <c r="I72" i="65" s="1"/>
  <c r="J72" i="65" s="1"/>
  <c r="K72" i="65" s="1"/>
  <c r="L73" i="65"/>
  <c r="M73" i="65" s="1"/>
  <c r="C73" i="65"/>
  <c r="AE71" i="65"/>
  <c r="AH71" i="65" s="1"/>
  <c r="Q71" i="65"/>
  <c r="R71" i="65"/>
  <c r="S71" i="65" s="1"/>
  <c r="O71" i="65" s="1"/>
  <c r="P71" i="65" s="1"/>
  <c r="AV71" i="65"/>
  <c r="AO72" i="63" a="1"/>
  <c r="AO72" i="63" s="1"/>
  <c r="B74" i="65" s="1"/>
  <c r="AD70" i="65" l="1"/>
  <c r="AM70" i="65" s="1"/>
  <c r="AF70" i="65"/>
  <c r="N73" i="65"/>
  <c r="U73" i="65" s="1"/>
  <c r="AG70" i="65"/>
  <c r="Y71" i="65"/>
  <c r="AB71" i="65" s="1"/>
  <c r="AC71" i="65" s="1"/>
  <c r="AO73" i="63" a="1"/>
  <c r="AO73" i="63" s="1"/>
  <c r="B75" i="65" s="1"/>
  <c r="Q72" i="65"/>
  <c r="R72" i="65"/>
  <c r="S72" i="65" s="1"/>
  <c r="O72" i="65" s="1"/>
  <c r="P72" i="65" s="1"/>
  <c r="AE72" i="65"/>
  <c r="AH72" i="65" s="1"/>
  <c r="AV72" i="65"/>
  <c r="L74" i="65"/>
  <c r="M74" i="65" s="1"/>
  <c r="C74" i="65"/>
  <c r="D73" i="65"/>
  <c r="E73" i="65" s="1"/>
  <c r="F73" i="65" s="1"/>
  <c r="G73" i="65" s="1"/>
  <c r="H73" i="65" s="1"/>
  <c r="I73" i="65" s="1"/>
  <c r="J73" i="65" s="1"/>
  <c r="K73" i="65" s="1"/>
  <c r="AD71" i="65" l="1"/>
  <c r="AM71" i="65" s="1"/>
  <c r="AF71" i="65"/>
  <c r="N74" i="65"/>
  <c r="U74" i="65" s="1"/>
  <c r="AG71" i="65"/>
  <c r="Y72" i="65"/>
  <c r="AB72" i="65" s="1"/>
  <c r="AC72" i="65" s="1"/>
  <c r="AO74" i="63" a="1"/>
  <c r="AO74" i="63" s="1"/>
  <c r="B76" i="65" s="1"/>
  <c r="R73" i="65"/>
  <c r="S73" i="65" s="1"/>
  <c r="O73" i="65" s="1"/>
  <c r="P73" i="65" s="1"/>
  <c r="AV73" i="65"/>
  <c r="AE73" i="65"/>
  <c r="AH73" i="65" s="1"/>
  <c r="Q73" i="65"/>
  <c r="D74" i="65"/>
  <c r="E74" i="65" s="1"/>
  <c r="F74" i="65" s="1"/>
  <c r="G74" i="65" s="1"/>
  <c r="H74" i="65" s="1"/>
  <c r="I74" i="65" s="1"/>
  <c r="J74" i="65" s="1"/>
  <c r="K74" i="65" s="1"/>
  <c r="C75" i="65"/>
  <c r="L75" i="65"/>
  <c r="M75" i="65" s="1"/>
  <c r="AD72" i="65" l="1"/>
  <c r="AM72" i="65" s="1"/>
  <c r="AF72" i="65"/>
  <c r="N75" i="65"/>
  <c r="U75" i="65" s="1"/>
  <c r="Y73" i="65"/>
  <c r="AB73" i="65" s="1"/>
  <c r="AC73" i="65" s="1"/>
  <c r="AG72" i="65"/>
  <c r="L76" i="65"/>
  <c r="M76" i="65" s="1"/>
  <c r="C76" i="65"/>
  <c r="D75" i="65"/>
  <c r="E75" i="65" s="1"/>
  <c r="F75" i="65" s="1"/>
  <c r="G75" i="65" s="1"/>
  <c r="H75" i="65" s="1"/>
  <c r="I75" i="65" s="1"/>
  <c r="J75" i="65" s="1"/>
  <c r="K75" i="65" s="1"/>
  <c r="AO75" i="63" a="1"/>
  <c r="AO75" i="63" s="1"/>
  <c r="B77" i="65" s="1"/>
  <c r="AV74" i="65"/>
  <c r="Q74" i="65"/>
  <c r="AH74" i="65"/>
  <c r="R74" i="65"/>
  <c r="S74" i="65" s="1"/>
  <c r="AE74" i="65"/>
  <c r="AD73" i="65" l="1"/>
  <c r="AM73" i="65" s="1"/>
  <c r="AF73" i="65"/>
  <c r="O74" i="65"/>
  <c r="P74" i="65" s="1"/>
  <c r="Y74" i="65" s="1"/>
  <c r="AB74" i="65" s="1"/>
  <c r="AC74" i="65" s="1"/>
  <c r="N76" i="65"/>
  <c r="U76" i="65" s="1"/>
  <c r="AG73" i="65"/>
  <c r="AO76" i="63" a="1"/>
  <c r="AO76" i="63" s="1"/>
  <c r="B78" i="65" s="1"/>
  <c r="Q75" i="65"/>
  <c r="AE75" i="65"/>
  <c r="AH75" i="65" s="1"/>
  <c r="R75" i="65"/>
  <c r="S75" i="65" s="1"/>
  <c r="O75" i="65" s="1"/>
  <c r="P75" i="65" s="1"/>
  <c r="AV75" i="65"/>
  <c r="D76" i="65"/>
  <c r="E76" i="65" s="1"/>
  <c r="F76" i="65" s="1"/>
  <c r="G76" i="65" s="1"/>
  <c r="H76" i="65" s="1"/>
  <c r="I76" i="65" s="1"/>
  <c r="J76" i="65" s="1"/>
  <c r="K76" i="65" s="1"/>
  <c r="C77" i="65"/>
  <c r="L77" i="65"/>
  <c r="M77" i="65" s="1"/>
  <c r="AD74" i="65" l="1"/>
  <c r="AM74" i="65" s="1"/>
  <c r="AF74" i="65"/>
  <c r="AG74" i="65" s="1"/>
  <c r="N77" i="65"/>
  <c r="U77" i="65" s="1"/>
  <c r="Y75" i="65"/>
  <c r="AB75" i="65" s="1"/>
  <c r="AC75" i="65" s="1"/>
  <c r="R76" i="65"/>
  <c r="S76" i="65" s="1"/>
  <c r="O76" i="65" s="1"/>
  <c r="P76" i="65" s="1"/>
  <c r="AE76" i="65"/>
  <c r="AH76" i="65" s="1"/>
  <c r="Q76" i="65"/>
  <c r="AV76" i="65"/>
  <c r="D77" i="65"/>
  <c r="E77" i="65" s="1"/>
  <c r="F77" i="65" s="1"/>
  <c r="G77" i="65" s="1"/>
  <c r="H77" i="65" s="1"/>
  <c r="I77" i="65" s="1"/>
  <c r="J77" i="65" s="1"/>
  <c r="K77" i="65" s="1"/>
  <c r="C78" i="65"/>
  <c r="L78" i="65"/>
  <c r="M78" i="65" s="1"/>
  <c r="AO77" i="63" a="1"/>
  <c r="AO77" i="63" s="1"/>
  <c r="B79" i="65" s="1"/>
  <c r="AD75" i="65" l="1"/>
  <c r="AM75" i="65" s="1"/>
  <c r="AF75" i="65"/>
  <c r="N78" i="65"/>
  <c r="U78" i="65" s="1"/>
  <c r="AG75" i="65"/>
  <c r="Y76" i="65"/>
  <c r="AB76" i="65" s="1"/>
  <c r="AC76" i="65" s="1"/>
  <c r="D78" i="65"/>
  <c r="E78" i="65" s="1"/>
  <c r="F78" i="65" s="1"/>
  <c r="G78" i="65" s="1"/>
  <c r="H78" i="65" s="1"/>
  <c r="I78" i="65" s="1"/>
  <c r="J78" i="65" s="1"/>
  <c r="K78" i="65" s="1"/>
  <c r="AO78" i="63" a="1"/>
  <c r="AO78" i="63" s="1"/>
  <c r="B80" i="65" s="1"/>
  <c r="R77" i="65"/>
  <c r="S77" i="65" s="1"/>
  <c r="Q77" i="65"/>
  <c r="AE77" i="65"/>
  <c r="AH77" i="65" s="1"/>
  <c r="AV77" i="65"/>
  <c r="L79" i="65"/>
  <c r="M79" i="65" s="1"/>
  <c r="C79" i="65"/>
  <c r="O77" i="65" l="1"/>
  <c r="P77" i="65" s="1"/>
  <c r="Y77" i="65" s="1"/>
  <c r="AB77" i="65" s="1"/>
  <c r="AC77" i="65" s="1"/>
  <c r="AD76" i="65"/>
  <c r="AM76" i="65" s="1"/>
  <c r="AF76" i="65"/>
  <c r="N79" i="65"/>
  <c r="U79" i="65" s="1"/>
  <c r="AG76" i="65"/>
  <c r="D79" i="65"/>
  <c r="E79" i="65" s="1"/>
  <c r="F79" i="65" s="1"/>
  <c r="G79" i="65" s="1"/>
  <c r="H79" i="65" s="1"/>
  <c r="I79" i="65" s="1"/>
  <c r="J79" i="65" s="1"/>
  <c r="K79" i="65" s="1"/>
  <c r="R78" i="65"/>
  <c r="S78" i="65" s="1"/>
  <c r="O78" i="65" s="1"/>
  <c r="P78" i="65" s="1"/>
  <c r="AE78" i="65"/>
  <c r="AH78" i="65" s="1"/>
  <c r="AV78" i="65"/>
  <c r="Q78" i="65"/>
  <c r="AO79" i="63" a="1"/>
  <c r="AO79" i="63" s="1"/>
  <c r="B81" i="65" s="1"/>
  <c r="L80" i="65"/>
  <c r="M80" i="65" s="1"/>
  <c r="C80" i="65"/>
  <c r="AD77" i="65" l="1"/>
  <c r="AM77" i="65" s="1"/>
  <c r="AF77" i="65"/>
  <c r="AG77" i="65" s="1"/>
  <c r="N80" i="65"/>
  <c r="U80" i="65" s="1"/>
  <c r="Y78" i="65"/>
  <c r="AB78" i="65" s="1"/>
  <c r="AC78" i="65" s="1"/>
  <c r="L81" i="65"/>
  <c r="M81" i="65" s="1"/>
  <c r="C81" i="65"/>
  <c r="AV79" i="65"/>
  <c r="R79" i="65"/>
  <c r="S79" i="65" s="1"/>
  <c r="O79" i="65" s="1"/>
  <c r="P79" i="65" s="1"/>
  <c r="Q79" i="65"/>
  <c r="AE79" i="65"/>
  <c r="AH79" i="65" s="1"/>
  <c r="D80" i="65"/>
  <c r="E80" i="65" s="1"/>
  <c r="F80" i="65" s="1"/>
  <c r="G80" i="65" s="1"/>
  <c r="H80" i="65" s="1"/>
  <c r="I80" i="65" s="1"/>
  <c r="J80" i="65" s="1"/>
  <c r="K80" i="65" s="1"/>
  <c r="AO80" i="63" a="1"/>
  <c r="AO80" i="63" s="1"/>
  <c r="B82" i="65" s="1"/>
  <c r="AD78" i="65" l="1"/>
  <c r="AM78" i="65" s="1"/>
  <c r="AF78" i="65"/>
  <c r="N81" i="65"/>
  <c r="U81" i="65" s="1"/>
  <c r="AG78" i="65"/>
  <c r="Y79" i="65"/>
  <c r="AB79" i="65" s="1"/>
  <c r="AC79" i="65" s="1"/>
  <c r="AO81" i="63" a="1"/>
  <c r="AO81" i="63" s="1"/>
  <c r="B83" i="65" s="1"/>
  <c r="AV80" i="65"/>
  <c r="R80" i="65"/>
  <c r="S80" i="65" s="1"/>
  <c r="Q80" i="65"/>
  <c r="AE80" i="65"/>
  <c r="AH80" i="65" s="1"/>
  <c r="D81" i="65"/>
  <c r="E81" i="65" s="1"/>
  <c r="F81" i="65" s="1"/>
  <c r="G81" i="65" s="1"/>
  <c r="H81" i="65" s="1"/>
  <c r="I81" i="65" s="1"/>
  <c r="J81" i="65" s="1"/>
  <c r="K81" i="65" s="1"/>
  <c r="C82" i="65"/>
  <c r="L82" i="65"/>
  <c r="M82" i="65" s="1"/>
  <c r="O80" i="65" l="1"/>
  <c r="P80" i="65" s="1"/>
  <c r="Y80" i="65" s="1"/>
  <c r="AB80" i="65" s="1"/>
  <c r="AC80" i="65" s="1"/>
  <c r="AD79" i="65"/>
  <c r="AM79" i="65" s="1"/>
  <c r="AF79" i="65"/>
  <c r="N82" i="65"/>
  <c r="U82" i="65" s="1"/>
  <c r="AG79" i="65"/>
  <c r="L83" i="65"/>
  <c r="M83" i="65" s="1"/>
  <c r="C83" i="65"/>
  <c r="AO82" i="63" a="1"/>
  <c r="AO82" i="63" s="1"/>
  <c r="B84" i="65" s="1"/>
  <c r="D82" i="65"/>
  <c r="E82" i="65" s="1"/>
  <c r="F82" i="65" s="1"/>
  <c r="G82" i="65" s="1"/>
  <c r="H82" i="65" s="1"/>
  <c r="I82" i="65" s="1"/>
  <c r="J82" i="65" s="1"/>
  <c r="K82" i="65" s="1"/>
  <c r="AE81" i="65"/>
  <c r="R81" i="65"/>
  <c r="S81" i="65" s="1"/>
  <c r="O81" i="65" s="1"/>
  <c r="P81" i="65" s="1"/>
  <c r="AH81" i="65"/>
  <c r="Q81" i="65"/>
  <c r="AV81" i="65"/>
  <c r="AD80" i="65" l="1"/>
  <c r="AM80" i="65" s="1"/>
  <c r="AF80" i="65"/>
  <c r="AG80" i="65" s="1"/>
  <c r="N83" i="65"/>
  <c r="U83" i="65" s="1"/>
  <c r="Y81" i="65"/>
  <c r="AB81" i="65" s="1"/>
  <c r="AC81" i="65" s="1"/>
  <c r="C84" i="65"/>
  <c r="L84" i="65"/>
  <c r="M84" i="65" s="1"/>
  <c r="D83" i="65"/>
  <c r="E83" i="65" s="1"/>
  <c r="F83" i="65" s="1"/>
  <c r="G83" i="65" s="1"/>
  <c r="H83" i="65" s="1"/>
  <c r="I83" i="65" s="1"/>
  <c r="J83" i="65" s="1"/>
  <c r="K83" i="65" s="1"/>
  <c r="AO83" i="63" a="1"/>
  <c r="AO83" i="63" s="1"/>
  <c r="B85" i="65" s="1"/>
  <c r="Q82" i="65"/>
  <c r="AE82" i="65"/>
  <c r="AH82" i="65" s="1"/>
  <c r="AV82" i="65"/>
  <c r="R82" i="65"/>
  <c r="S82" i="65" s="1"/>
  <c r="O82" i="65" s="1"/>
  <c r="P82" i="65" s="1"/>
  <c r="AD81" i="65" l="1"/>
  <c r="AM81" i="65" s="1"/>
  <c r="AF81" i="65"/>
  <c r="N84" i="65"/>
  <c r="U84" i="65" s="1"/>
  <c r="AG81" i="65"/>
  <c r="Y82" i="65"/>
  <c r="AB82" i="65" s="1"/>
  <c r="AC82" i="65" s="1"/>
  <c r="AE83" i="65"/>
  <c r="AH83" i="65" s="1"/>
  <c r="R83" i="65"/>
  <c r="S83" i="65" s="1"/>
  <c r="O83" i="65" s="1"/>
  <c r="P83" i="65" s="1"/>
  <c r="AV83" i="65"/>
  <c r="Q83" i="65"/>
  <c r="C85" i="65"/>
  <c r="L85" i="65"/>
  <c r="M85" i="65" s="1"/>
  <c r="AO84" i="63" a="1"/>
  <c r="AO84" i="63" s="1"/>
  <c r="B86" i="65" s="1"/>
  <c r="D84" i="65"/>
  <c r="E84" i="65" s="1"/>
  <c r="F84" i="65" s="1"/>
  <c r="G84" i="65" s="1"/>
  <c r="H84" i="65" s="1"/>
  <c r="I84" i="65" s="1"/>
  <c r="J84" i="65" s="1"/>
  <c r="K84" i="65" s="1"/>
  <c r="AD82" i="65" l="1"/>
  <c r="AM82" i="65" s="1"/>
  <c r="AF82" i="65"/>
  <c r="N85" i="65"/>
  <c r="U85" i="65" s="1"/>
  <c r="AG82" i="65"/>
  <c r="Y83" i="65"/>
  <c r="AB83" i="65" s="1"/>
  <c r="AC83" i="65" s="1"/>
  <c r="Q84" i="65"/>
  <c r="AE84" i="65"/>
  <c r="AH84" i="65" s="1"/>
  <c r="R84" i="65"/>
  <c r="S84" i="65" s="1"/>
  <c r="AV84" i="65"/>
  <c r="C86" i="65"/>
  <c r="L86" i="65"/>
  <c r="M86" i="65" s="1"/>
  <c r="D85" i="65"/>
  <c r="E85" i="65" s="1"/>
  <c r="F85" i="65" s="1"/>
  <c r="G85" i="65" s="1"/>
  <c r="H85" i="65" s="1"/>
  <c r="I85" i="65" s="1"/>
  <c r="J85" i="65" s="1"/>
  <c r="K85" i="65" s="1"/>
  <c r="AO85" i="63" a="1"/>
  <c r="AO85" i="63" s="1"/>
  <c r="B87" i="65" s="1"/>
  <c r="AD83" i="65" l="1"/>
  <c r="AM83" i="65" s="1"/>
  <c r="AF83" i="65"/>
  <c r="O84" i="65"/>
  <c r="P84" i="65" s="1"/>
  <c r="Y84" i="65" s="1"/>
  <c r="AB84" i="65" s="1"/>
  <c r="AC84" i="65" s="1"/>
  <c r="N86" i="65"/>
  <c r="U86" i="65" s="1"/>
  <c r="AG83" i="65"/>
  <c r="AV85" i="65"/>
  <c r="R85" i="65"/>
  <c r="S85" i="65" s="1"/>
  <c r="O85" i="65" s="1"/>
  <c r="P85" i="65" s="1"/>
  <c r="AE85" i="65"/>
  <c r="AH85" i="65" s="1"/>
  <c r="Q85" i="65"/>
  <c r="L87" i="65"/>
  <c r="M87" i="65" s="1"/>
  <c r="C87" i="65"/>
  <c r="D86" i="65"/>
  <c r="E86" i="65" s="1"/>
  <c r="F86" i="65" s="1"/>
  <c r="G86" i="65" s="1"/>
  <c r="H86" i="65" s="1"/>
  <c r="I86" i="65" s="1"/>
  <c r="J86" i="65" s="1"/>
  <c r="K86" i="65" s="1"/>
  <c r="AO86" i="63" a="1"/>
  <c r="AO86" i="63" s="1"/>
  <c r="B88" i="65" s="1"/>
  <c r="AD84" i="65" l="1"/>
  <c r="AM84" i="65" s="1"/>
  <c r="AF84" i="65"/>
  <c r="AG84" i="65" s="1"/>
  <c r="N87" i="65"/>
  <c r="U87" i="65" s="1"/>
  <c r="Y85" i="65"/>
  <c r="AB85" i="65" s="1"/>
  <c r="AC85" i="65" s="1"/>
  <c r="C88" i="65"/>
  <c r="L88" i="65"/>
  <c r="M88" i="65" s="1"/>
  <c r="AV86" i="65"/>
  <c r="Q86" i="65"/>
  <c r="AE86" i="65"/>
  <c r="AH86" i="65" s="1"/>
  <c r="R86" i="65"/>
  <c r="S86" i="65" s="1"/>
  <c r="O86" i="65" s="1"/>
  <c r="P86" i="65" s="1"/>
  <c r="AO87" i="63" a="1"/>
  <c r="AO87" i="63" s="1"/>
  <c r="B89" i="65" s="1"/>
  <c r="D87" i="65"/>
  <c r="E87" i="65" s="1"/>
  <c r="F87" i="65" s="1"/>
  <c r="G87" i="65" s="1"/>
  <c r="H87" i="65" s="1"/>
  <c r="I87" i="65" s="1"/>
  <c r="J87" i="65" s="1"/>
  <c r="K87" i="65" s="1"/>
  <c r="AD85" i="65" l="1"/>
  <c r="AM85" i="65" s="1"/>
  <c r="AF85" i="65"/>
  <c r="N88" i="65"/>
  <c r="AG85" i="65"/>
  <c r="Y86" i="65"/>
  <c r="L89" i="65"/>
  <c r="M89" i="65" s="1"/>
  <c r="C89" i="65"/>
  <c r="AO88" i="63" a="1"/>
  <c r="AO88" i="63" s="1"/>
  <c r="B90" i="65" s="1"/>
  <c r="AV87" i="65"/>
  <c r="Q87" i="65"/>
  <c r="AE87" i="65"/>
  <c r="AH87" i="65" s="1"/>
  <c r="R87" i="65"/>
  <c r="S87" i="65" s="1"/>
  <c r="O87" i="65" s="1"/>
  <c r="P87" i="65" s="1"/>
  <c r="D88" i="65"/>
  <c r="E88" i="65" s="1"/>
  <c r="F88" i="65" s="1"/>
  <c r="G88" i="65" s="1"/>
  <c r="H88" i="65" s="1"/>
  <c r="I88" i="65" s="1"/>
  <c r="J88" i="65" s="1"/>
  <c r="K88" i="65" s="1"/>
  <c r="U88" i="65"/>
  <c r="N89" i="65" l="1"/>
  <c r="U89" i="65" s="1"/>
  <c r="AB86" i="65"/>
  <c r="AC86" i="65" s="1"/>
  <c r="Y87" i="65"/>
  <c r="AB87" i="65" s="1"/>
  <c r="AC87" i="65" s="1"/>
  <c r="Q88" i="65"/>
  <c r="AV88" i="65"/>
  <c r="AE88" i="65"/>
  <c r="AH88" i="65" s="1"/>
  <c r="R88" i="65"/>
  <c r="S88" i="65" s="1"/>
  <c r="D89" i="65"/>
  <c r="E89" i="65" s="1"/>
  <c r="F89" i="65" s="1"/>
  <c r="G89" i="65" s="1"/>
  <c r="H89" i="65" s="1"/>
  <c r="I89" i="65" s="1"/>
  <c r="J89" i="65" s="1"/>
  <c r="K89" i="65" s="1"/>
  <c r="L90" i="65"/>
  <c r="M90" i="65" s="1"/>
  <c r="C90" i="65"/>
  <c r="AO89" i="63" a="1"/>
  <c r="AO89" i="63" s="1"/>
  <c r="B91" i="65" s="1"/>
  <c r="O88" i="65" l="1"/>
  <c r="P88" i="65" s="1"/>
  <c r="Y88" i="65" s="1"/>
  <c r="AB88" i="65" s="1"/>
  <c r="AC88" i="65" s="1"/>
  <c r="AD86" i="65"/>
  <c r="AM86" i="65" s="1"/>
  <c r="AF86" i="65"/>
  <c r="AG86" i="65" s="1"/>
  <c r="AD87" i="65"/>
  <c r="AM87" i="65" s="1"/>
  <c r="AF87" i="65"/>
  <c r="N90" i="65"/>
  <c r="U90" i="65" s="1"/>
  <c r="AG87" i="65"/>
  <c r="AO90" i="63" a="1"/>
  <c r="AO90" i="63" s="1"/>
  <c r="B92" i="65" s="1"/>
  <c r="D90" i="65"/>
  <c r="E90" i="65" s="1"/>
  <c r="F90" i="65" s="1"/>
  <c r="G90" i="65" s="1"/>
  <c r="H90" i="65" s="1"/>
  <c r="I90" i="65" s="1"/>
  <c r="J90" i="65" s="1"/>
  <c r="K90" i="65" s="1"/>
  <c r="C91" i="65"/>
  <c r="L91" i="65"/>
  <c r="M91" i="65" s="1"/>
  <c r="Q89" i="65"/>
  <c r="AV89" i="65"/>
  <c r="AE89" i="65"/>
  <c r="AH89" i="65" s="1"/>
  <c r="R89" i="65"/>
  <c r="S89" i="65" s="1"/>
  <c r="O89" i="65" s="1"/>
  <c r="P89" i="65" s="1"/>
  <c r="AD88" i="65" l="1"/>
  <c r="AM88" i="65" s="1"/>
  <c r="AF88" i="65"/>
  <c r="AG88" i="65" s="1"/>
  <c r="N91" i="65"/>
  <c r="U91" i="65" s="1"/>
  <c r="Y89" i="65"/>
  <c r="AB89" i="65" s="1"/>
  <c r="AC89" i="65" s="1"/>
  <c r="AO91" i="63" a="1"/>
  <c r="AO91" i="63" s="1"/>
  <c r="B93" i="65" s="1"/>
  <c r="D91" i="65"/>
  <c r="E91" i="65" s="1"/>
  <c r="F91" i="65" s="1"/>
  <c r="G91" i="65" s="1"/>
  <c r="H91" i="65" s="1"/>
  <c r="I91" i="65" s="1"/>
  <c r="J91" i="65" s="1"/>
  <c r="K91" i="65" s="1"/>
  <c r="Q90" i="65"/>
  <c r="AV90" i="65"/>
  <c r="R90" i="65"/>
  <c r="S90" i="65" s="1"/>
  <c r="AE90" i="65"/>
  <c r="AH90" i="65" s="1"/>
  <c r="L92" i="65"/>
  <c r="M92" i="65" s="1"/>
  <c r="C92" i="65"/>
  <c r="O90" i="65" l="1"/>
  <c r="P90" i="65" s="1"/>
  <c r="Y90" i="65" s="1"/>
  <c r="AB90" i="65" s="1"/>
  <c r="AC90" i="65" s="1"/>
  <c r="AD89" i="65"/>
  <c r="AM89" i="65" s="1"/>
  <c r="AF89" i="65"/>
  <c r="N92" i="65"/>
  <c r="U92" i="65" s="1"/>
  <c r="AG89" i="65"/>
  <c r="AO92" i="63" a="1"/>
  <c r="AO92" i="63" s="1"/>
  <c r="B94" i="65" s="1"/>
  <c r="D92" i="65"/>
  <c r="E92" i="65" s="1"/>
  <c r="F92" i="65" s="1"/>
  <c r="G92" i="65" s="1"/>
  <c r="H92" i="65" s="1"/>
  <c r="I92" i="65" s="1"/>
  <c r="J92" i="65" s="1"/>
  <c r="K92" i="65" s="1"/>
  <c r="Q91" i="65"/>
  <c r="R91" i="65"/>
  <c r="S91" i="65" s="1"/>
  <c r="O91" i="65" s="1"/>
  <c r="P91" i="65" s="1"/>
  <c r="AH91" i="65"/>
  <c r="AE91" i="65"/>
  <c r="AV91" i="65"/>
  <c r="C93" i="65"/>
  <c r="L93" i="65"/>
  <c r="M93" i="65" s="1"/>
  <c r="AD90" i="65" l="1"/>
  <c r="AM90" i="65" s="1"/>
  <c r="AF90" i="65"/>
  <c r="AG90" i="65" s="1"/>
  <c r="N93" i="65"/>
  <c r="U93" i="65" s="1"/>
  <c r="Y91" i="65"/>
  <c r="AB91" i="65" s="1"/>
  <c r="AC91" i="65" s="1"/>
  <c r="Q92" i="65"/>
  <c r="AE92" i="65"/>
  <c r="AH92" i="65" s="1"/>
  <c r="AV92" i="65"/>
  <c r="R92" i="65"/>
  <c r="S92" i="65" s="1"/>
  <c r="C94" i="65"/>
  <c r="L94" i="65"/>
  <c r="M94" i="65" s="1"/>
  <c r="D93" i="65"/>
  <c r="E93" i="65" s="1"/>
  <c r="F93" i="65" s="1"/>
  <c r="G93" i="65" s="1"/>
  <c r="H93" i="65" s="1"/>
  <c r="I93" i="65" s="1"/>
  <c r="J93" i="65" s="1"/>
  <c r="K93" i="65" s="1"/>
  <c r="AO93" i="63" a="1"/>
  <c r="AO93" i="63" s="1"/>
  <c r="B95" i="65" s="1"/>
  <c r="O92" i="65" l="1"/>
  <c r="P92" i="65" s="1"/>
  <c r="Y92" i="65" s="1"/>
  <c r="AB92" i="65" s="1"/>
  <c r="AC92" i="65" s="1"/>
  <c r="AD91" i="65"/>
  <c r="AM91" i="65" s="1"/>
  <c r="AF91" i="65"/>
  <c r="N94" i="65"/>
  <c r="U94" i="65" s="1"/>
  <c r="AG91" i="65"/>
  <c r="AO94" i="63" a="1"/>
  <c r="AO94" i="63" s="1"/>
  <c r="B96" i="65" s="1"/>
  <c r="Q93" i="65"/>
  <c r="R93" i="65"/>
  <c r="S93" i="65" s="1"/>
  <c r="O93" i="65" s="1"/>
  <c r="P93" i="65" s="1"/>
  <c r="AE93" i="65"/>
  <c r="AH93" i="65" s="1"/>
  <c r="AV93" i="65"/>
  <c r="L95" i="65"/>
  <c r="M95" i="65" s="1"/>
  <c r="C95" i="65"/>
  <c r="D94" i="65"/>
  <c r="E94" i="65" s="1"/>
  <c r="F94" i="65" s="1"/>
  <c r="G94" i="65" s="1"/>
  <c r="H94" i="65" s="1"/>
  <c r="I94" i="65" s="1"/>
  <c r="J94" i="65" s="1"/>
  <c r="K94" i="65" s="1"/>
  <c r="AD92" i="65" l="1"/>
  <c r="AM92" i="65" s="1"/>
  <c r="AF92" i="65"/>
  <c r="AG92" i="65" s="1"/>
  <c r="N95" i="65"/>
  <c r="U95" i="65" s="1"/>
  <c r="Y93" i="65"/>
  <c r="AB93" i="65" s="1"/>
  <c r="AC93" i="65" s="1"/>
  <c r="AV94" i="65"/>
  <c r="AE94" i="65"/>
  <c r="AH94" i="65" s="1"/>
  <c r="Q94" i="65"/>
  <c r="R94" i="65"/>
  <c r="S94" i="65" s="1"/>
  <c r="O94" i="65" s="1"/>
  <c r="P94" i="65" s="1"/>
  <c r="D95" i="65"/>
  <c r="E95" i="65" s="1"/>
  <c r="F95" i="65" s="1"/>
  <c r="G95" i="65" s="1"/>
  <c r="H95" i="65" s="1"/>
  <c r="I95" i="65" s="1"/>
  <c r="J95" i="65" s="1"/>
  <c r="K95" i="65" s="1"/>
  <c r="L96" i="65"/>
  <c r="M96" i="65" s="1"/>
  <c r="C96" i="65"/>
  <c r="AO95" i="63" a="1"/>
  <c r="AO95" i="63" s="1"/>
  <c r="B97" i="65" s="1"/>
  <c r="AD93" i="65" l="1"/>
  <c r="AM93" i="65" s="1"/>
  <c r="AF93" i="65"/>
  <c r="N96" i="65"/>
  <c r="U96" i="65" s="1"/>
  <c r="AG93" i="65"/>
  <c r="Y94" i="65"/>
  <c r="AB94" i="65" s="1"/>
  <c r="AC94" i="65" s="1"/>
  <c r="Q95" i="65"/>
  <c r="R95" i="65"/>
  <c r="S95" i="65" s="1"/>
  <c r="O95" i="65" s="1"/>
  <c r="P95" i="65" s="1"/>
  <c r="AE95" i="65"/>
  <c r="AH95" i="65" s="1"/>
  <c r="AV95" i="65"/>
  <c r="L97" i="65"/>
  <c r="M97" i="65" s="1"/>
  <c r="C97" i="65"/>
  <c r="D96" i="65"/>
  <c r="E96" i="65" s="1"/>
  <c r="F96" i="65" s="1"/>
  <c r="G96" i="65" s="1"/>
  <c r="H96" i="65" s="1"/>
  <c r="I96" i="65" s="1"/>
  <c r="J96" i="65" s="1"/>
  <c r="K96" i="65" s="1"/>
  <c r="AO96" i="63" a="1"/>
  <c r="AO96" i="63" s="1"/>
  <c r="B98" i="65" s="1"/>
  <c r="AD94" i="65" l="1"/>
  <c r="AM94" i="65" s="1"/>
  <c r="AF94" i="65"/>
  <c r="N97" i="65"/>
  <c r="U97" i="65" s="1"/>
  <c r="AG94" i="65"/>
  <c r="Y95" i="65"/>
  <c r="AO97" i="63" a="1"/>
  <c r="AO97" i="63" s="1"/>
  <c r="B99" i="65" s="1"/>
  <c r="AE96" i="65"/>
  <c r="AH96" i="65" s="1"/>
  <c r="AV96" i="65"/>
  <c r="Q96" i="65"/>
  <c r="R96" i="65"/>
  <c r="S96" i="65" s="1"/>
  <c r="O96" i="65" s="1"/>
  <c r="P96" i="65" s="1"/>
  <c r="D97" i="65"/>
  <c r="E97" i="65" s="1"/>
  <c r="F97" i="65" s="1"/>
  <c r="G97" i="65" s="1"/>
  <c r="H97" i="65" s="1"/>
  <c r="I97" i="65" s="1"/>
  <c r="J97" i="65" s="1"/>
  <c r="K97" i="65" s="1"/>
  <c r="L98" i="65"/>
  <c r="M98" i="65" s="1"/>
  <c r="C98" i="65"/>
  <c r="N98" i="65" l="1"/>
  <c r="U98" i="65" s="1"/>
  <c r="AB95" i="65"/>
  <c r="AC95" i="65" s="1"/>
  <c r="Y96" i="65"/>
  <c r="D98" i="65"/>
  <c r="E98" i="65" s="1"/>
  <c r="F98" i="65" s="1"/>
  <c r="G98" i="65" s="1"/>
  <c r="H98" i="65" s="1"/>
  <c r="I98" i="65" s="1"/>
  <c r="J98" i="65" s="1"/>
  <c r="K98" i="65" s="1"/>
  <c r="AE97" i="65"/>
  <c r="AH97" i="65" s="1"/>
  <c r="AV97" i="65"/>
  <c r="Q97" i="65"/>
  <c r="R97" i="65"/>
  <c r="S97" i="65" s="1"/>
  <c r="AO98" i="63" a="1"/>
  <c r="AO98" i="63" s="1"/>
  <c r="B100" i="65" s="1"/>
  <c r="C99" i="65"/>
  <c r="L99" i="65"/>
  <c r="M99" i="65" s="1"/>
  <c r="O97" i="65" l="1"/>
  <c r="P97" i="65" s="1"/>
  <c r="Y97" i="65" s="1"/>
  <c r="AB97" i="65" s="1"/>
  <c r="AC97" i="65" s="1"/>
  <c r="AD95" i="65"/>
  <c r="AM95" i="65" s="1"/>
  <c r="AF95" i="65"/>
  <c r="AG95" i="65" s="1"/>
  <c r="N99" i="65"/>
  <c r="U99" i="65" s="1"/>
  <c r="AB96" i="65"/>
  <c r="AC96" i="65" s="1"/>
  <c r="D99" i="65"/>
  <c r="E99" i="65" s="1"/>
  <c r="F99" i="65" s="1"/>
  <c r="G99" i="65" s="1"/>
  <c r="H99" i="65" s="1"/>
  <c r="I99" i="65" s="1"/>
  <c r="J99" i="65" s="1"/>
  <c r="K99" i="65" s="1"/>
  <c r="AO99" i="63" a="1"/>
  <c r="AO99" i="63" s="1"/>
  <c r="B101" i="65" s="1"/>
  <c r="C100" i="65"/>
  <c r="L100" i="65"/>
  <c r="M100" i="65" s="1"/>
  <c r="Q98" i="65"/>
  <c r="AE98" i="65"/>
  <c r="AH98" i="65" s="1"/>
  <c r="R98" i="65"/>
  <c r="S98" i="65" s="1"/>
  <c r="O98" i="65" s="1"/>
  <c r="P98" i="65" s="1"/>
  <c r="AV98" i="65"/>
  <c r="AD97" i="65" l="1"/>
  <c r="AM97" i="65" s="1"/>
  <c r="AF97" i="65"/>
  <c r="AG97" i="65" s="1"/>
  <c r="AD96" i="65"/>
  <c r="AM96" i="65" s="1"/>
  <c r="AF96" i="65"/>
  <c r="AG96" i="65" s="1"/>
  <c r="N100" i="65"/>
  <c r="U100" i="65" s="1"/>
  <c r="Y98" i="65"/>
  <c r="AO100" i="63" a="1"/>
  <c r="AO100" i="63" s="1"/>
  <c r="B102" i="65" s="1"/>
  <c r="D100" i="65"/>
  <c r="E100" i="65" s="1"/>
  <c r="F100" i="65" s="1"/>
  <c r="G100" i="65" s="1"/>
  <c r="H100" i="65" s="1"/>
  <c r="I100" i="65" s="1"/>
  <c r="J100" i="65" s="1"/>
  <c r="K100" i="65" s="1"/>
  <c r="C101" i="65"/>
  <c r="L101" i="65"/>
  <c r="M101" i="65" s="1"/>
  <c r="AE99" i="65"/>
  <c r="AH99" i="65" s="1"/>
  <c r="Q99" i="65"/>
  <c r="AV99" i="65"/>
  <c r="R99" i="65"/>
  <c r="S99" i="65" s="1"/>
  <c r="O99" i="65" s="1"/>
  <c r="P99" i="65" s="1"/>
  <c r="N101" i="65" l="1"/>
  <c r="U101" i="65" s="1"/>
  <c r="AB98" i="65"/>
  <c r="AC98" i="65" s="1"/>
  <c r="Y99" i="65"/>
  <c r="D101" i="65"/>
  <c r="E101" i="65" s="1"/>
  <c r="F101" i="65" s="1"/>
  <c r="G101" i="65" s="1"/>
  <c r="H101" i="65" s="1"/>
  <c r="I101" i="65" s="1"/>
  <c r="J101" i="65" s="1"/>
  <c r="K101" i="65" s="1"/>
  <c r="AV100" i="65"/>
  <c r="R100" i="65"/>
  <c r="S100" i="65" s="1"/>
  <c r="O100" i="65" s="1"/>
  <c r="P100" i="65" s="1"/>
  <c r="AE100" i="65"/>
  <c r="AH100" i="65" s="1"/>
  <c r="Q100" i="65"/>
  <c r="C102" i="65"/>
  <c r="L102" i="65"/>
  <c r="M102" i="65" s="1"/>
  <c r="AO101" i="63" a="1"/>
  <c r="AO101" i="63" s="1"/>
  <c r="B103" i="65" s="1"/>
  <c r="AD98" i="65" l="1"/>
  <c r="AM98" i="65" s="1"/>
  <c r="AF98" i="65"/>
  <c r="AG98" i="65" s="1"/>
  <c r="N102" i="65"/>
  <c r="U102" i="65" s="1"/>
  <c r="AB99" i="65"/>
  <c r="AC99" i="65" s="1"/>
  <c r="Y100" i="65"/>
  <c r="AB100" i="65" s="1"/>
  <c r="AC100" i="65" s="1"/>
  <c r="L103" i="65"/>
  <c r="M103" i="65" s="1"/>
  <c r="C103" i="65"/>
  <c r="AO102" i="63" a="1"/>
  <c r="AO102" i="63" s="1"/>
  <c r="B104" i="65" s="1"/>
  <c r="D102" i="65"/>
  <c r="E102" i="65" s="1"/>
  <c r="F102" i="65" s="1"/>
  <c r="G102" i="65" s="1"/>
  <c r="H102" i="65" s="1"/>
  <c r="I102" i="65" s="1"/>
  <c r="J102" i="65" s="1"/>
  <c r="K102" i="65" s="1"/>
  <c r="AV101" i="65"/>
  <c r="R101" i="65"/>
  <c r="S101" i="65" s="1"/>
  <c r="O101" i="65" s="1"/>
  <c r="P101" i="65" s="1"/>
  <c r="AE101" i="65"/>
  <c r="AH101" i="65"/>
  <c r="Q101" i="65"/>
  <c r="AD99" i="65" l="1"/>
  <c r="AM99" i="65" s="1"/>
  <c r="AF99" i="65"/>
  <c r="AG99" i="65" s="1"/>
  <c r="AD100" i="65"/>
  <c r="AM100" i="65" s="1"/>
  <c r="AF100" i="65"/>
  <c r="N103" i="65"/>
  <c r="U103" i="65" s="1"/>
  <c r="Y101" i="65"/>
  <c r="AB101" i="65" s="1"/>
  <c r="AC101" i="65" s="1"/>
  <c r="AG100" i="65"/>
  <c r="D103" i="65"/>
  <c r="E103" i="65" s="1"/>
  <c r="F103" i="65" s="1"/>
  <c r="G103" i="65" s="1"/>
  <c r="H103" i="65" s="1"/>
  <c r="I103" i="65" s="1"/>
  <c r="J103" i="65" s="1"/>
  <c r="K103" i="65" s="1"/>
  <c r="AO103" i="63" a="1"/>
  <c r="AO103" i="63" s="1"/>
  <c r="B105" i="65" s="1"/>
  <c r="Q102" i="65"/>
  <c r="AV102" i="65"/>
  <c r="AE102" i="65"/>
  <c r="AH102" i="65" s="1"/>
  <c r="R102" i="65"/>
  <c r="S102" i="65" s="1"/>
  <c r="L104" i="65"/>
  <c r="M104" i="65" s="1"/>
  <c r="C104" i="65"/>
  <c r="AD101" i="65" l="1"/>
  <c r="AM101" i="65" s="1"/>
  <c r="AF101" i="65"/>
  <c r="O102" i="65"/>
  <c r="P102" i="65" s="1"/>
  <c r="Y102" i="65" s="1"/>
  <c r="AB102" i="65" s="1"/>
  <c r="AC102" i="65" s="1"/>
  <c r="N104" i="65"/>
  <c r="U104" i="65" s="1"/>
  <c r="AG101" i="65"/>
  <c r="C105" i="65"/>
  <c r="L105" i="65"/>
  <c r="M105" i="65" s="1"/>
  <c r="AO104" i="63" a="1"/>
  <c r="AO104" i="63" s="1"/>
  <c r="B106" i="65" s="1"/>
  <c r="AV103" i="65"/>
  <c r="R103" i="65"/>
  <c r="S103" i="65" s="1"/>
  <c r="O103" i="65" s="1"/>
  <c r="P103" i="65" s="1"/>
  <c r="Q103" i="65"/>
  <c r="AE103" i="65"/>
  <c r="AH103" i="65" s="1"/>
  <c r="D104" i="65"/>
  <c r="E104" i="65" s="1"/>
  <c r="F104" i="65" s="1"/>
  <c r="G104" i="65" s="1"/>
  <c r="H104" i="65" s="1"/>
  <c r="I104" i="65" s="1"/>
  <c r="J104" i="65" s="1"/>
  <c r="K104" i="65" s="1"/>
  <c r="AD102" i="65" l="1"/>
  <c r="AM102" i="65" s="1"/>
  <c r="AF102" i="65"/>
  <c r="AG102" i="65" s="1"/>
  <c r="N105" i="65"/>
  <c r="U105" i="65" s="1"/>
  <c r="Y103" i="65"/>
  <c r="AB103" i="65" s="1"/>
  <c r="AC103" i="65" s="1"/>
  <c r="C106" i="65"/>
  <c r="L106" i="65"/>
  <c r="M106" i="65" s="1"/>
  <c r="AO105" i="63" a="1"/>
  <c r="AO105" i="63" s="1"/>
  <c r="B107" i="65" s="1"/>
  <c r="AE104" i="65"/>
  <c r="AH104" i="65" s="1"/>
  <c r="R104" i="65"/>
  <c r="S104" i="65" s="1"/>
  <c r="Q104" i="65"/>
  <c r="AV104" i="65"/>
  <c r="D105" i="65"/>
  <c r="E105" i="65" s="1"/>
  <c r="F105" i="65" s="1"/>
  <c r="G105" i="65" s="1"/>
  <c r="H105" i="65" s="1"/>
  <c r="I105" i="65" s="1"/>
  <c r="J105" i="65" s="1"/>
  <c r="K105" i="65" s="1"/>
  <c r="O104" i="65" l="1"/>
  <c r="P104" i="65" s="1"/>
  <c r="Y104" i="65" s="1"/>
  <c r="AB104" i="65" s="1"/>
  <c r="AC104" i="65" s="1"/>
  <c r="AD103" i="65"/>
  <c r="AM103" i="65" s="1"/>
  <c r="AF103" i="65"/>
  <c r="N106" i="65"/>
  <c r="U106" i="65" s="1"/>
  <c r="AG103" i="65"/>
  <c r="R105" i="65"/>
  <c r="S105" i="65" s="1"/>
  <c r="O105" i="65" s="1"/>
  <c r="P105" i="65" s="1"/>
  <c r="AV105" i="65"/>
  <c r="Q105" i="65"/>
  <c r="AE105" i="65"/>
  <c r="AH105" i="65"/>
  <c r="L107" i="65"/>
  <c r="M107" i="65" s="1"/>
  <c r="C107" i="65"/>
  <c r="AO106" i="63" a="1"/>
  <c r="AO106" i="63" s="1"/>
  <c r="B108" i="65" s="1"/>
  <c r="D106" i="65"/>
  <c r="E106" i="65" s="1"/>
  <c r="F106" i="65" s="1"/>
  <c r="G106" i="65" s="1"/>
  <c r="H106" i="65" s="1"/>
  <c r="I106" i="65" s="1"/>
  <c r="J106" i="65" s="1"/>
  <c r="K106" i="65" s="1"/>
  <c r="AD104" i="65" l="1"/>
  <c r="AM104" i="65" s="1"/>
  <c r="AF104" i="65"/>
  <c r="AG104" i="65" s="1"/>
  <c r="N107" i="65"/>
  <c r="U107" i="65" s="1"/>
  <c r="Y105" i="65"/>
  <c r="AV106" i="65"/>
  <c r="Q106" i="65"/>
  <c r="R106" i="65"/>
  <c r="S106" i="65" s="1"/>
  <c r="O106" i="65" s="1"/>
  <c r="P106" i="65" s="1"/>
  <c r="AE106" i="65"/>
  <c r="AH106" i="65" s="1"/>
  <c r="D107" i="65"/>
  <c r="E107" i="65" s="1"/>
  <c r="F107" i="65" s="1"/>
  <c r="G107" i="65" s="1"/>
  <c r="H107" i="65" s="1"/>
  <c r="I107" i="65" s="1"/>
  <c r="J107" i="65" s="1"/>
  <c r="K107" i="65" s="1"/>
  <c r="L108" i="65"/>
  <c r="M108" i="65" s="1"/>
  <c r="C108" i="65"/>
  <c r="AO107" i="63" a="1"/>
  <c r="AO107" i="63" s="1"/>
  <c r="B109" i="65" s="1"/>
  <c r="N108" i="65" l="1"/>
  <c r="U108" i="65" s="1"/>
  <c r="AB105" i="65"/>
  <c r="AC105" i="65" s="1"/>
  <c r="Y106" i="65"/>
  <c r="AB106" i="65" s="1"/>
  <c r="AC106" i="65" s="1"/>
  <c r="AO108" i="63" a="1"/>
  <c r="AO108" i="63" s="1"/>
  <c r="B110" i="65" s="1"/>
  <c r="AE107" i="65"/>
  <c r="R107" i="65"/>
  <c r="S107" i="65" s="1"/>
  <c r="O107" i="65" s="1"/>
  <c r="P107" i="65" s="1"/>
  <c r="Q107" i="65"/>
  <c r="AH107" i="65"/>
  <c r="AV107" i="65"/>
  <c r="D108" i="65"/>
  <c r="E108" i="65" s="1"/>
  <c r="F108" i="65" s="1"/>
  <c r="G108" i="65" s="1"/>
  <c r="H108" i="65" s="1"/>
  <c r="I108" i="65" s="1"/>
  <c r="J108" i="65" s="1"/>
  <c r="K108" i="65" s="1"/>
  <c r="L109" i="65"/>
  <c r="M109" i="65" s="1"/>
  <c r="C109" i="65"/>
  <c r="AD105" i="65" l="1"/>
  <c r="AM105" i="65" s="1"/>
  <c r="AF105" i="65"/>
  <c r="AG105" i="65" s="1"/>
  <c r="AD106" i="65"/>
  <c r="AM106" i="65" s="1"/>
  <c r="AF106" i="65"/>
  <c r="N109" i="65"/>
  <c r="U109" i="65" s="1"/>
  <c r="AG106" i="65"/>
  <c r="Y107" i="65"/>
  <c r="D109" i="65"/>
  <c r="E109" i="65" s="1"/>
  <c r="F109" i="65" s="1"/>
  <c r="G109" i="65" s="1"/>
  <c r="H109" i="65" s="1"/>
  <c r="I109" i="65" s="1"/>
  <c r="J109" i="65" s="1"/>
  <c r="K109" i="65" s="1"/>
  <c r="AE108" i="65"/>
  <c r="AH108" i="65" s="1"/>
  <c r="Q108" i="65"/>
  <c r="R108" i="65"/>
  <c r="S108" i="65" s="1"/>
  <c r="O108" i="65" s="1"/>
  <c r="P108" i="65" s="1"/>
  <c r="AV108" i="65"/>
  <c r="AO109" i="63" a="1"/>
  <c r="AO109" i="63" s="1"/>
  <c r="B111" i="65" s="1"/>
  <c r="C110" i="65"/>
  <c r="L110" i="65"/>
  <c r="M110" i="65" s="1"/>
  <c r="N110" i="65" l="1"/>
  <c r="U110" i="65" s="1"/>
  <c r="AB107" i="65"/>
  <c r="AC107" i="65" s="1"/>
  <c r="Y108" i="65"/>
  <c r="D110" i="65"/>
  <c r="E110" i="65" s="1"/>
  <c r="F110" i="65" s="1"/>
  <c r="G110" i="65" s="1"/>
  <c r="H110" i="65" s="1"/>
  <c r="I110" i="65" s="1"/>
  <c r="J110" i="65" s="1"/>
  <c r="K110" i="65" s="1"/>
  <c r="AO110" i="63" a="1"/>
  <c r="AO110" i="63" s="1"/>
  <c r="B112" i="65" s="1"/>
  <c r="AE109" i="65"/>
  <c r="AV109" i="65"/>
  <c r="Q109" i="65"/>
  <c r="R109" i="65"/>
  <c r="S109" i="65" s="1"/>
  <c r="O109" i="65" s="1"/>
  <c r="P109" i="65" s="1"/>
  <c r="AH109" i="65"/>
  <c r="L111" i="65"/>
  <c r="M111" i="65" s="1"/>
  <c r="C111" i="65"/>
  <c r="AD107" i="65" l="1"/>
  <c r="AM107" i="65" s="1"/>
  <c r="AF107" i="65"/>
  <c r="AG107" i="65" s="1"/>
  <c r="N111" i="65"/>
  <c r="U111" i="65" s="1"/>
  <c r="AB108" i="65"/>
  <c r="AC108" i="65" s="1"/>
  <c r="Y109" i="65"/>
  <c r="AB109" i="65" s="1"/>
  <c r="AC109" i="65" s="1"/>
  <c r="C112" i="65"/>
  <c r="L112" i="65"/>
  <c r="M112" i="65" s="1"/>
  <c r="AO111" i="63" a="1"/>
  <c r="AO111" i="63" s="1"/>
  <c r="B113" i="65" s="1"/>
  <c r="D111" i="65"/>
  <c r="E111" i="65" s="1"/>
  <c r="F111" i="65" s="1"/>
  <c r="G111" i="65" s="1"/>
  <c r="H111" i="65" s="1"/>
  <c r="I111" i="65" s="1"/>
  <c r="J111" i="65" s="1"/>
  <c r="K111" i="65" s="1"/>
  <c r="AE110" i="65"/>
  <c r="AH110" i="65" s="1"/>
  <c r="AV110" i="65"/>
  <c r="R110" i="65"/>
  <c r="S110" i="65" s="1"/>
  <c r="Q110" i="65"/>
  <c r="AD109" i="65" l="1"/>
  <c r="AM109" i="65" s="1"/>
  <c r="AF109" i="65"/>
  <c r="AD108" i="65"/>
  <c r="AM108" i="65" s="1"/>
  <c r="AF108" i="65"/>
  <c r="AG108" i="65" s="1"/>
  <c r="O110" i="65"/>
  <c r="P110" i="65" s="1"/>
  <c r="Y110" i="65" s="1"/>
  <c r="AB110" i="65" s="1"/>
  <c r="AC110" i="65" s="1"/>
  <c r="N112" i="65"/>
  <c r="U112" i="65" s="1"/>
  <c r="AG109" i="65"/>
  <c r="AO112" i="63" a="1"/>
  <c r="AO112" i="63" s="1"/>
  <c r="B114" i="65" s="1"/>
  <c r="D112" i="65"/>
  <c r="E112" i="65" s="1"/>
  <c r="F112" i="65" s="1"/>
  <c r="G112" i="65" s="1"/>
  <c r="H112" i="65" s="1"/>
  <c r="I112" i="65" s="1"/>
  <c r="J112" i="65" s="1"/>
  <c r="K112" i="65" s="1"/>
  <c r="L113" i="65"/>
  <c r="M113" i="65" s="1"/>
  <c r="C113" i="65"/>
  <c r="Q111" i="65"/>
  <c r="AV111" i="65"/>
  <c r="AE111" i="65"/>
  <c r="AH111" i="65" s="1"/>
  <c r="R111" i="65"/>
  <c r="S111" i="65" s="1"/>
  <c r="AD110" i="65" l="1"/>
  <c r="AM110" i="65" s="1"/>
  <c r="AF110" i="65"/>
  <c r="AG110" i="65" s="1"/>
  <c r="O111" i="65"/>
  <c r="P111" i="65" s="1"/>
  <c r="Y111" i="65" s="1"/>
  <c r="AB111" i="65" s="1"/>
  <c r="AC111" i="65" s="1"/>
  <c r="N113" i="65"/>
  <c r="U113" i="65" s="1"/>
  <c r="AO113" i="63" a="1"/>
  <c r="AO113" i="63" s="1"/>
  <c r="B115" i="65" s="1"/>
  <c r="D113" i="65"/>
  <c r="E113" i="65" s="1"/>
  <c r="F113" i="65" s="1"/>
  <c r="G113" i="65" s="1"/>
  <c r="H113" i="65" s="1"/>
  <c r="I113" i="65" s="1"/>
  <c r="J113" i="65" s="1"/>
  <c r="K113" i="65" s="1"/>
  <c r="AE112" i="65"/>
  <c r="AH112" i="65" s="1"/>
  <c r="Q112" i="65"/>
  <c r="AV112" i="65"/>
  <c r="R112" i="65"/>
  <c r="S112" i="65" s="1"/>
  <c r="O112" i="65" s="1"/>
  <c r="P112" i="65" s="1"/>
  <c r="C114" i="65"/>
  <c r="L114" i="65"/>
  <c r="M114" i="65" s="1"/>
  <c r="AD111" i="65" l="1"/>
  <c r="AM111" i="65" s="1"/>
  <c r="AF111" i="65"/>
  <c r="AG111" i="65" s="1"/>
  <c r="N114" i="65"/>
  <c r="U114" i="65" s="1"/>
  <c r="Y112" i="65"/>
  <c r="AB112" i="65" s="1"/>
  <c r="AC112" i="65" s="1"/>
  <c r="AO114" i="63" a="1"/>
  <c r="AO114" i="63" s="1"/>
  <c r="B116" i="65" s="1"/>
  <c r="D114" i="65"/>
  <c r="E114" i="65" s="1"/>
  <c r="F114" i="65" s="1"/>
  <c r="G114" i="65" s="1"/>
  <c r="H114" i="65" s="1"/>
  <c r="I114" i="65" s="1"/>
  <c r="J114" i="65" s="1"/>
  <c r="K114" i="65" s="1"/>
  <c r="AV113" i="65"/>
  <c r="AE113" i="65"/>
  <c r="AH113" i="65" s="1"/>
  <c r="R113" i="65"/>
  <c r="S113" i="65" s="1"/>
  <c r="O113" i="65" s="1"/>
  <c r="P113" i="65" s="1"/>
  <c r="Q113" i="65"/>
  <c r="L115" i="65"/>
  <c r="M115" i="65" s="1"/>
  <c r="C115" i="65"/>
  <c r="AD112" i="65" l="1"/>
  <c r="AM112" i="65" s="1"/>
  <c r="AF112" i="65"/>
  <c r="AG112" i="65" s="1"/>
  <c r="N115" i="65"/>
  <c r="U115" i="65" s="1"/>
  <c r="Y113" i="65"/>
  <c r="AB113" i="65" s="1"/>
  <c r="AC113" i="65" s="1"/>
  <c r="Q114" i="65"/>
  <c r="AV114" i="65"/>
  <c r="R114" i="65"/>
  <c r="S114" i="65" s="1"/>
  <c r="O114" i="65" s="1"/>
  <c r="P114" i="65" s="1"/>
  <c r="AE114" i="65"/>
  <c r="AH114" i="65" s="1"/>
  <c r="D115" i="65"/>
  <c r="E115" i="65" s="1"/>
  <c r="F115" i="65" s="1"/>
  <c r="G115" i="65" s="1"/>
  <c r="H115" i="65" s="1"/>
  <c r="I115" i="65" s="1"/>
  <c r="J115" i="65" s="1"/>
  <c r="K115" i="65" s="1"/>
  <c r="L116" i="65"/>
  <c r="M116" i="65" s="1"/>
  <c r="C116" i="65"/>
  <c r="AO115" i="63" a="1"/>
  <c r="AO115" i="63" s="1"/>
  <c r="B117" i="65" s="1"/>
  <c r="AD113" i="65" l="1"/>
  <c r="AM113" i="65" s="1"/>
  <c r="AF113" i="65"/>
  <c r="N116" i="65"/>
  <c r="U116" i="65" s="1"/>
  <c r="AG113" i="65"/>
  <c r="Y114" i="65"/>
  <c r="AB114" i="65" s="1"/>
  <c r="AC114" i="65" s="1"/>
  <c r="L117" i="65"/>
  <c r="M117" i="65" s="1"/>
  <c r="C117" i="65"/>
  <c r="AV115" i="65"/>
  <c r="R115" i="65"/>
  <c r="S115" i="65" s="1"/>
  <c r="AE115" i="65"/>
  <c r="AH115" i="65" s="1"/>
  <c r="Q115" i="65"/>
  <c r="D116" i="65"/>
  <c r="E116" i="65" s="1"/>
  <c r="F116" i="65" s="1"/>
  <c r="G116" i="65" s="1"/>
  <c r="H116" i="65" s="1"/>
  <c r="I116" i="65" s="1"/>
  <c r="J116" i="65" s="1"/>
  <c r="K116" i="65" s="1"/>
  <c r="AO116" i="63" a="1"/>
  <c r="AO116" i="63" s="1"/>
  <c r="B118" i="65" s="1"/>
  <c r="AD114" i="65" l="1"/>
  <c r="AM114" i="65" s="1"/>
  <c r="AF114" i="65"/>
  <c r="O115" i="65"/>
  <c r="P115" i="65" s="1"/>
  <c r="Y115" i="65" s="1"/>
  <c r="AB115" i="65" s="1"/>
  <c r="AC115" i="65" s="1"/>
  <c r="N117" i="65"/>
  <c r="U117" i="65" s="1"/>
  <c r="AG114" i="65"/>
  <c r="AO117" i="63" a="1"/>
  <c r="AO117" i="63" s="1"/>
  <c r="B119" i="65" s="1"/>
  <c r="D117" i="65"/>
  <c r="E117" i="65" s="1"/>
  <c r="F117" i="65" s="1"/>
  <c r="G117" i="65" s="1"/>
  <c r="H117" i="65" s="1"/>
  <c r="I117" i="65" s="1"/>
  <c r="J117" i="65" s="1"/>
  <c r="K117" i="65" s="1"/>
  <c r="AE116" i="65"/>
  <c r="AH116" i="65" s="1"/>
  <c r="R116" i="65"/>
  <c r="S116" i="65" s="1"/>
  <c r="O116" i="65" s="1"/>
  <c r="P116" i="65" s="1"/>
  <c r="Q116" i="65"/>
  <c r="AV116" i="65"/>
  <c r="L118" i="65"/>
  <c r="M118" i="65" s="1"/>
  <c r="C118" i="65"/>
  <c r="AD115" i="65" l="1"/>
  <c r="AM115" i="65" s="1"/>
  <c r="AF115" i="65"/>
  <c r="AG115" i="65" s="1"/>
  <c r="N118" i="65"/>
  <c r="U118" i="65" s="1"/>
  <c r="Y116" i="65"/>
  <c r="AB116" i="65" s="1"/>
  <c r="AC116" i="65" s="1"/>
  <c r="AV117" i="65"/>
  <c r="R117" i="65"/>
  <c r="S117" i="65" s="1"/>
  <c r="O117" i="65" s="1"/>
  <c r="P117" i="65" s="1"/>
  <c r="AE117" i="65"/>
  <c r="AH117" i="65" s="1"/>
  <c r="Q117" i="65"/>
  <c r="D118" i="65"/>
  <c r="E118" i="65" s="1"/>
  <c r="F118" i="65" s="1"/>
  <c r="G118" i="65" s="1"/>
  <c r="H118" i="65" s="1"/>
  <c r="I118" i="65" s="1"/>
  <c r="J118" i="65" s="1"/>
  <c r="K118" i="65" s="1"/>
  <c r="AO118" i="63" a="1"/>
  <c r="AO118" i="63" s="1"/>
  <c r="B120" i="65" s="1"/>
  <c r="L119" i="65"/>
  <c r="M119" i="65" s="1"/>
  <c r="C119" i="65"/>
  <c r="AD116" i="65" l="1"/>
  <c r="AM116" i="65" s="1"/>
  <c r="AF116" i="65"/>
  <c r="N119" i="65"/>
  <c r="U119" i="65" s="1"/>
  <c r="AG116" i="65"/>
  <c r="Y117" i="65"/>
  <c r="AB117" i="65" s="1"/>
  <c r="AC117" i="65" s="1"/>
  <c r="AV118" i="65"/>
  <c r="R118" i="65"/>
  <c r="S118" i="65" s="1"/>
  <c r="O118" i="65" s="1"/>
  <c r="P118" i="65" s="1"/>
  <c r="AE118" i="65"/>
  <c r="AH118" i="65" s="1"/>
  <c r="Q118" i="65"/>
  <c r="AO119" i="63" a="1"/>
  <c r="AO119" i="63" s="1"/>
  <c r="B121" i="65" s="1"/>
  <c r="C120" i="65"/>
  <c r="L120" i="65"/>
  <c r="M120" i="65" s="1"/>
  <c r="D119" i="65"/>
  <c r="E119" i="65" s="1"/>
  <c r="F119" i="65" s="1"/>
  <c r="G119" i="65" s="1"/>
  <c r="H119" i="65" s="1"/>
  <c r="I119" i="65" s="1"/>
  <c r="J119" i="65" s="1"/>
  <c r="K119" i="65" s="1"/>
  <c r="AD117" i="65" l="1"/>
  <c r="AM117" i="65" s="1"/>
  <c r="AF117" i="65"/>
  <c r="N120" i="65"/>
  <c r="U120" i="65" s="1"/>
  <c r="AG117" i="65"/>
  <c r="Y118" i="65"/>
  <c r="AB118" i="65" s="1"/>
  <c r="AC118" i="65" s="1"/>
  <c r="L121" i="65"/>
  <c r="M121" i="65" s="1"/>
  <c r="C121" i="65"/>
  <c r="O121" i="65"/>
  <c r="R119" i="65"/>
  <c r="S119" i="65" s="1"/>
  <c r="AV119" i="65"/>
  <c r="AE119" i="65"/>
  <c r="AH119" i="65" s="1"/>
  <c r="Q119" i="65"/>
  <c r="AO120" i="63" a="1"/>
  <c r="AO120" i="63" s="1"/>
  <c r="B122" i="65" s="1"/>
  <c r="D120" i="65"/>
  <c r="E120" i="65" s="1"/>
  <c r="F120" i="65" s="1"/>
  <c r="G120" i="65" s="1"/>
  <c r="H120" i="65" s="1"/>
  <c r="I120" i="65" s="1"/>
  <c r="J120" i="65" s="1"/>
  <c r="K120" i="65" s="1"/>
  <c r="O119" i="65" l="1"/>
  <c r="P119" i="65" s="1"/>
  <c r="Y119" i="65" s="1"/>
  <c r="AB119" i="65" s="1"/>
  <c r="AC119" i="65" s="1"/>
  <c r="AD118" i="65"/>
  <c r="AM118" i="65" s="1"/>
  <c r="AF118" i="65"/>
  <c r="N121" i="65"/>
  <c r="U121" i="65" s="1"/>
  <c r="P121" i="65"/>
  <c r="AG118" i="65"/>
  <c r="C122" i="65"/>
  <c r="L122" i="65"/>
  <c r="M122" i="65" s="1"/>
  <c r="O122" i="65"/>
  <c r="D121" i="65"/>
  <c r="E121" i="65" s="1"/>
  <c r="F121" i="65" s="1"/>
  <c r="G121" i="65" s="1"/>
  <c r="H121" i="65" s="1"/>
  <c r="I121" i="65" s="1"/>
  <c r="J121" i="65" s="1"/>
  <c r="K121" i="65" s="1"/>
  <c r="AM121" i="65"/>
  <c r="AO121" i="63" a="1"/>
  <c r="AO121" i="63" s="1"/>
  <c r="B123" i="65" s="1"/>
  <c r="Q120" i="65"/>
  <c r="AE120" i="65"/>
  <c r="AH120" i="65" s="1"/>
  <c r="R120" i="65"/>
  <c r="S120" i="65" s="1"/>
  <c r="O120" i="65" s="1"/>
  <c r="P120" i="65" s="1"/>
  <c r="AV120" i="65"/>
  <c r="AD119" i="65" l="1"/>
  <c r="AM119" i="65" s="1"/>
  <c r="AF119" i="65"/>
  <c r="AG119" i="65" s="1"/>
  <c r="N122" i="65"/>
  <c r="U122" i="65" s="1"/>
  <c r="P122" i="65"/>
  <c r="Y120" i="65"/>
  <c r="AB120" i="65" s="1"/>
  <c r="AC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AD120" i="65" l="1"/>
  <c r="AM120" i="65" s="1"/>
  <c r="AF120" i="65"/>
  <c r="N123" i="65"/>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U249" i="65" s="1"/>
  <c r="P249" i="65"/>
  <c r="AB246" i="65"/>
  <c r="AC246" i="65" s="1"/>
  <c r="AD246" i="65" s="1"/>
  <c r="Y247" i="65"/>
  <c r="AB247" i="65" s="1"/>
  <c r="AC247" i="65" s="1"/>
  <c r="AD247" i="65" s="1"/>
  <c r="AF247" i="65"/>
  <c r="O250" i="65"/>
  <c r="L250" i="65"/>
  <c r="M250" i="65" s="1"/>
  <c r="C250"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J18" i="73"/>
  <c r="K18" i="73" s="1"/>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30" i="105" l="1"/>
  <c r="G7" i="105" s="1"/>
  <c r="AD257" i="65"/>
  <c r="C23" i="105"/>
  <c r="E23" i="105"/>
  <c r="C32" i="105"/>
  <c r="E32" i="105"/>
  <c r="H29" i="105" s="1"/>
  <c r="U258" i="67"/>
  <c r="H21" i="105" l="1"/>
  <c r="H22" i="105"/>
  <c r="G6" i="105" s="1"/>
  <c r="T172" i="22"/>
  <c r="AD172" i="22" s="1"/>
  <c r="D13" i="105" s="1"/>
  <c r="D14" i="105" s="1"/>
  <c r="H22" i="36"/>
  <c r="AB258" i="67"/>
  <c r="H31" i="36" s="1"/>
  <c r="H22" i="73"/>
  <c r="AB10" i="67"/>
  <c r="D183" i="36" l="1"/>
  <c r="D203" i="36" s="1"/>
  <c r="AF172" i="22"/>
  <c r="E13" i="105" s="1"/>
  <c r="E14" i="105" s="1"/>
  <c r="G5" i="105" s="1"/>
  <c r="H30" i="73"/>
  <c r="J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 r="J53" i="7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<sst xmlns="http://schemas.openxmlformats.org/spreadsheetml/2006/main" count="10707" uniqueCount="2117">
  <si>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</si>
  <si>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</si>
  <si>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</si>
  <si>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</si>
  <si>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</si>
  <si>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</si>
  <si>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</si>
  <si>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</si>
  <si>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</si>
  <si>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</si>
  <si>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</si>
  <si>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</si>
  <si>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</si>
  <si>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</si>
  <si>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</si>
  <si>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</si>
  <si>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</si>
  <si>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</si>
  <si>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</si>
  <si>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</si>
  <si>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</si>
  <si>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</si>
  <si>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</si>
  <si>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</si>
  <si>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</si>
  <si>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</si>
  <si>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</si>
  <si>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</si>
  <si>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</si>
  <si>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</si>
  <si>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</si>
  <si>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</si>
  <si>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</si>
  <si>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</si>
  <si>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</si>
  <si>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</si>
  <si>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</si>
  <si>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</si>
  <si>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</si>
  <si>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</si>
  <si>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</si>
  <si>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</si>
  <si>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</si>
  <si>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</si>
  <si>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</si>
  <si>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</si>
  <si>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</si>
  <si>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</si>
  <si>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</si>
  <si>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</si>
  <si>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</si>
  <si>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</si>
  <si>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</si>
  <si>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</si>
  <si>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</si>
  <si>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</si>
  <si>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</si>
  <si>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</si>
  <si>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</si>
  <si>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</si>
  <si>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</si>
  <si>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</si>
  <si>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</si>
  <si>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</si>
  <si>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</si>
  <si>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</si>
  <si>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</si>
  <si>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</si>
  <si>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</si>
  <si>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</si>
  <si>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</si>
  <si>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</si>
  <si>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</si>
  <si>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</si>
  <si>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</si>
  <si>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</si>
  <si>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</si>
  <si>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</si>
  <si>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</si>
  <si>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</si>
  <si>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</si>
  <si>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</si>
  <si>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</si>
  <si>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</si>
  <si>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</si>
  <si>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</si>
  <si>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</si>
  <si>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</si>
  <si>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</si>
  <si>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</si>
  <si>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</si>
  <si>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</si>
  <si>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</si>
  <si>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</si>
  <si>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</si>
  <si>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</si>
  <si>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</si>
  <si>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</si>
  <si>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</si>
  <si>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</si>
  <si>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</si>
  <si>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</si>
  <si>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</si>
  <si>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</si>
  <si>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</si>
  <si>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</si>
  <si>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</si>
  <si>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</si>
  <si>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</si>
  <si>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</si>
  <si>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</si>
  <si>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</si>
  <si>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</si>
  <si>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</si>
  <si>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</si>
  <si>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</si>
  <si>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</si>
  <si>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</si>
  <si>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</si>
  <si>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</si>
  <si>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</si>
  <si>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</si>
  <si>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</si>
  <si>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</si>
  <si>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</si>
  <si>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</si>
  <si>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</si>
  <si>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</si>
  <si>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</si>
  <si>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</si>
  <si>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</si>
  <si>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</si>
  <si>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</si>
  <si>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</si>
  <si>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</si>
  <si>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</si>
  <si>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</si>
  <si>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</si>
  <si>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</si>
  <si>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</si>
  <si>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</si>
  <si>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</si>
  <si>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</si>
  <si>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</si>
  <si>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</si>
  <si>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</si>
  <si>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</si>
  <si>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</si>
  <si>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</si>
  <si>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</si>
  <si>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</si>
  <si>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</si>
  <si>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</si>
  <si>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</si>
  <si>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</si>
  <si>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</si>
  <si>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</si>
  <si>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</si>
  <si>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</si>
  <si>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</si>
  <si>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</si>
  <si>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</si>
  <si>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</si>
  <si>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</si>
  <si>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</si>
  <si>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</si>
  <si>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</si>
  <si>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</si>
  <si>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</si>
  <si>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</si>
  <si>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</si>
  <si>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</si>
  <si>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</si>
  <si>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</si>
  <si>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</si>
  <si>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</si>
  <si>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</si>
  <si>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</si>
  <si>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</si>
  <si>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</si>
  <si>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</si>
  <si>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</si>
  <si>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</si>
  <si>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</si>
  <si>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</si>
  <si>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</si>
  <si>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</si>
  <si>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</si>
  <si>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</si>
  <si>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</si>
  <si>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</si>
  <si>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</si>
  <si>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</si>
  <si>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</si>
  <si>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</si>
  <si>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</si>
  <si>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</si>
  <si>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</si>
  <si>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</si>
  <si>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</si>
  <si>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</si>
  <si>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</si>
  <si>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</si>
  <si>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</si>
  <si>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</si>
  <si>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</si>
  <si>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</si>
  <si>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</si>
  <si>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</si>
  <si>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</si>
  <si>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</si>
  <si>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</si>
  <si>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</si>
  <si>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</si>
  <si>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</si>
  <si>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</si>
  <si>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</si>
  <si>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</si>
  <si>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</si>
  <si>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</si>
  <si>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</si>
  <si>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</si>
  <si>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</si>
  <si>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</si>
  <si>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</si>
  <si>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</si>
  <si>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</si>
  <si>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</si>
  <si>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</si>
  <si>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</si>
  <si>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</si>
  <si>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</si>
  <si>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</si>
  <si>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</si>
  <si>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</si>
  <si>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</si>
  <si>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</si>
  <si>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</si>
  <si>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</si>
  <si>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</si>
  <si>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</si>
  <si>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</si>
  <si>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</si>
  <si>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</si>
  <si>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 Deficit; Like for like or better not satisfied</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</si>
  <si>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</si>
  <si>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</si>
  <si>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</si>
  <si>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</si>
  <si>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</si>
  <si>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</si>
  <si>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</si>
  <si>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</si>
  <si>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</si>
  <si>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</si>
  <si>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</si>
  <si>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</si>
  <si>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</si>
  <si>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</si>
  <si>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</si>
  <si>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</si>
  <si>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</si>
  <si>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</si>
  <si>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</si>
  <si>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</si>
  <si>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</si>
  <si>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</si>
  <si>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</si>
  <si>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</si>
  <si>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</si>
  <si>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</si>
  <si>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</si>
  <si>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</si>
  <si>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</si>
  <si>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</si>
  <si>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</si>
  <si>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</si>
  <si>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</si>
  <si>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</si>
  <si>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</si>
  <si>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</si>
  <si>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</si>
  <si>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</si>
  <si>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</si>
  <si>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</si>
  <si>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</si>
  <si>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</si>
  <si>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</si>
  <si>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</si>
  <si>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</si>
  <si>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</si>
  <si>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</si>
  <si>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</si>
  <si>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</si>
  <si>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</si>
  <si>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</si>
  <si>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</si>
  <si>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</si>
  <si>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</si>
  <si>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</si>
  <si>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</si>
  <si>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</si>
  <si>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</si>
  <si>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</si>
  <si>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</si>
  <si>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</si>
  <si>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</si>
  <si>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</si>
  <si>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</si>
  <si>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</si>
  <si>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</si>
  <si>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</si>
  <si>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</si>
  <si>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</si>
  <si>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</si>
  <si>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</si>
  <si>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</si>
  <si>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</si>
  <si>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</si>
  <si>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</si>
  <si>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</si>
  <si>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</si>
  <si>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</si>
  <si>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</si>
  <si>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</si>
  <si>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</si>
  <si>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</si>
  <si>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</si>
  <si>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</si>
  <si>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</si>
  <si>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</si>
  <si>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</si>
  <si>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</si>
  <si>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</si>
  <si>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</si>
  <si>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</si>
  <si>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</si>
  <si>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</si>
  <si>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</si>
  <si>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</si>
  <si>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</si>
  <si>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</si>
  <si>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</si>
  <si>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</si>
  <si>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</si>
  <si>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</si>
  <si>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</si>
  <si>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</si>
  <si>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</si>
  <si>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</si>
  <si>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</si>
  <si>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</si>
  <si>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</si>
  <si>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</si>
  <si>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</si>
  <si>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</si>
  <si>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</si>
  <si>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</si>
  <si>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</si>
  <si>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</si>
  <si>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</si>
  <si>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</si>
  <si>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</si>
  <si>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</si>
  <si>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</si>
  <si>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</si>
  <si>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</si>
  <si>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</si>
  <si>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</si>
  <si>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</si>
  <si>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</si>
  <si>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</si>
  <si>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</si>
  <si>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</si>
  <si>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</si>
  <si>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</si>
  <si>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</si>
  <si>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</si>
  <si>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</si>
  <si>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</si>
  <si>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</si>
  <si>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</si>
  <si>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</si>
  <si>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</si>
  <si>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</si>
  <si>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</si>
  <si>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</si>
  <si>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</si>
  <si>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</si>
  <si>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</si>
  <si>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</si>
  <si>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</si>
  <si>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</si>
  <si>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</si>
  <si>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</si>
  <si>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</si>
  <si>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</si>
  <si>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</si>
  <si>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</si>
  <si>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</si>
  <si>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</si>
  <si>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</si>
  <si>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</si>
  <si>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</si>
  <si>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</si>
  <si>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</si>
  <si>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</si>
  <si>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</si>
  <si>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</si>
  <si>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</si>
  <si>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</si>
  <si>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</si>
  <si>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</si>
  <si>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</si>
  <si>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</si>
  <si>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</si>
  <si>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</si>
  <si>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</si>
  <si>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</si>
  <si>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</si>
  <si>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</si>
  <si>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</si>
  <si>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</si>
  <si>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</si>
  <si>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</si>
  <si>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</si>
  <si>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</si>
  <si>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</si>
  <si>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</si>
  <si>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</si>
  <si>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</si>
  <si>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</si>
  <si>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</si>
  <si>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</si>
  <si>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</si>
  <si>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</si>
  <si>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</si>
  <si>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</si>
  <si>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</si>
  <si>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</si>
  <si>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</si>
  <si>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</si>
  <si>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</si>
  <si>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</si>
  <si>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</si>
  <si>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</si>
  <si>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</si>
  <si>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</si>
  <si>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</si>
  <si>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</si>
  <si>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</si>
  <si>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</si>
  <si>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</si>
  <si>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</si>
  <si>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</si>
  <si>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</si>
  <si>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</si>
  <si>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</si>
  <si>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</si>
  <si>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</si>
  <si>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</si>
  <si>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</si>
  <si>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</si>
  <si>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</si>
  <si>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</si>
  <si>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</si>
  <si>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</si>
  <si>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</si>
  <si>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</si>
  <si>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</si>
  <si>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</si>
  <si>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</si>
  <si>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</si>
  <si>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</si>
  <si>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</si>
  <si>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</si>
  <si>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</si>
  <si>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</si>
  <si>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</si>
  <si>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</si>
  <si>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</si>
  <si>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</si>
  <si>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</si>
  <si>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</si>
  <si>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</si>
  <si>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</si>
  <si>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</si>
  <si>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</si>
  <si>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</si>
  <si>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</si>
  <si>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</si>
  <si>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</si>
  <si>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</si>
  <si>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</si>
  <si>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</si>
  <si>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</si>
  <si>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</si>
  <si>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</si>
  <si>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</si>
  <si>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</si>
  <si>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</si>
  <si>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</si>
  <si>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</si>
  <si>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</si>
  <si>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</si>
  <si>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</si>
  <si>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</si>
  <si>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</si>
  <si>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</si>
  <si>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</si>
  <si>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</si>
  <si>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</si>
  <si>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</si>
  <si>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</si>
  <si>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</si>
  <si>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</si>
  <si>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</si>
  <si>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</si>
  <si>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</si>
  <si>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</si>
  <si>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</si>
  <si>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</si>
  <si>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</si>
  <si>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</si>
  <si>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</si>
  <si>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</si>
  <si>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</si>
  <si>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</si>
  <si>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</si>
  <si>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</si>
  <si>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</si>
  <si>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</si>
  <si>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</si>
  <si>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</si>
  <si>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</si>
  <si>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</si>
  <si>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</si>
  <si>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</si>
  <si>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</si>
  <si>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</si>
  <si>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</si>
  <si>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</si>
  <si>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</si>
  <si>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</si>
  <si>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</si>
  <si>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</si>
  <si>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</si>
  <si>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</si>
  <si>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</si>
  <si>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</si>
  <si>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</si>
  <si>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</si>
  <si>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</si>
  <si>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</si>
  <si>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</si>
  <si>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</si>
  <si>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</si>
  <si>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</si>
  <si>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</si>
  <si>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</si>
  <si>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</si>
  <si>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</si>
  <si>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</si>
  <si>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</si>
  <si>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</si>
  <si>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</si>
  <si>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</si>
  <si>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</si>
  <si>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</si>
  <si>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</si>
  <si>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</si>
  <si>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</si>
  <si>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</si>
  <si>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</si>
  <si>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</si>
  <si>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</si>
  <si>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</si>
  <si>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</si>
  <si>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</si>
  <si>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</si>
  <si>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</si>
  <si>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</si>
  <si>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</si>
  <si>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</si>
  <si>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</si>
  <si>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</si>
  <si>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</si>
  <si>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</si>
  <si>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</si>
  <si>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</si>
  <si>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</si>
  <si>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</si>
  <si>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</si>
  <si>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</si>
  <si>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</si>
  <si>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</si>
  <si>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</si>
  <si>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</si>
  <si>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</si>
  <si>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</si>
  <si>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</si>
  <si>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</si>
  <si>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</si>
  <si>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</si>
  <si>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</si>
  <si>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</si>
  <si>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</si>
  <si>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</si>
  <si>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</si>
  <si>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</si>
  <si>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</si>
  <si>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</si>
  <si>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</si>
  <si>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</si>
  <si>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</si>
  <si>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</si>
  <si>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</si>
  <si>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</si>
  <si>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</si>
  <si>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</si>
  <si>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</si>
  <si>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</si>
  <si>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</si>
  <si>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</si>
  <si>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</si>
  <si>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</si>
  <si>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</si>
  <si>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</si>
  <si>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</si>
  <si>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</si>
  <si>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</si>
  <si>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</si>
  <si>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</si>
  <si>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</si>
  <si>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</si>
  <si>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</si>
  <si>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</si>
  <si>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</si>
  <si>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</si>
  <si>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</si>
  <si>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</si>
  <si>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</si>
  <si>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</si>
  <si>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</si>
  <si>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</si>
  <si>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</si>
  <si>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</si>
  <si>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</si>
  <si>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</si>
  <si>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</si>
  <si>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</si>
  <si>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</si>
  <si>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</si>
  <si>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</si>
  <si>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</si>
  <si>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</si>
  <si>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</si>
  <si>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</si>
  <si>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</si>
  <si>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</si>
  <si>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</si>
  <si>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</si>
  <si>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</si>
  <si>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</si>
  <si>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</si>
  <si>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</si>
  <si>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</si>
  <si>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</si>
  <si>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</si>
  <si>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</si>
  <si>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</si>
  <si>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</si>
  <si>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</si>
  <si>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</si>
  <si>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</si>
  <si>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</si>
  <si>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</si>
  <si>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</si>
  <si>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</si>
  <si>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</si>
  <si>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</si>
  <si>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</si>
  <si>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</si>
  <si>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</si>
  <si>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</si>
  <si>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</si>
  <si>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</si>
  <si>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</si>
  <si>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</si>
  <si>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</si>
  <si>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</si>
  <si>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</si>
  <si>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</si>
  <si>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</si>
  <si>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</si>
  <si>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</si>
  <si>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</si>
  <si>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</si>
  <si>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</si>
  <si>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</si>
  <si>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</si>
  <si>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</si>
  <si>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</si>
  <si>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</si>
  <si>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</si>
  <si>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</si>
  <si>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</si>
  <si>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</si>
  <si>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</si>
  <si>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</si>
  <si>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</si>
  <si>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</si>
  <si>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</si>
  <si>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</si>
  <si>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</si>
  <si>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</si>
  <si>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</si>
  <si>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</si>
  <si>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</si>
  <si>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</si>
  <si>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</si>
  <si>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</si>
  <si>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</si>
  <si>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</si>
  <si>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</si>
  <si>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</si>
  <si>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</si>
  <si>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</si>
  <si>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</si>
  <si>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</si>
  <si>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</si>
  <si>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</si>
  <si>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</si>
  <si>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</si>
  <si>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</si>
  <si>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</si>
  <si>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</si>
  <si>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</si>
  <si>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</si>
  <si>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</si>
  <si>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</si>
  <si>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</si>
  <si>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</si>
  <si>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</si>
  <si>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</si>
  <si>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</si>
  <si>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</si>
  <si>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</si>
  <si>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</si>
  <si>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</si>
  <si>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</si>
  <si>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</si>
  <si>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</si>
  <si>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</si>
  <si>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</si>
  <si>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</si>
  <si>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</si>
  <si>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</si>
  <si>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</si>
  <si>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</si>
  <si>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</si>
  <si>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</si>
  <si>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</si>
  <si>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</si>
  <si>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</si>
  <si>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</si>
  <si>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</si>
  <si>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</si>
  <si>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</si>
  <si>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</si>
  <si>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</si>
  <si>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</si>
  <si>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</si>
  <si>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</si>
  <si>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</si>
  <si>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</si>
  <si>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</si>
  <si>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</si>
  <si>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</si>
  <si>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</si>
  <si>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</si>
  <si>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</si>
  <si>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</si>
  <si>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</si>
  <si>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</si>
  <si>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</si>
  <si>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</si>
  <si>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</si>
  <si>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</si>
  <si>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</si>
  <si>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</si>
  <si>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</si>
  <si>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</si>
  <si>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</si>
  <si>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</si>
  <si>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</si>
  <si>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</si>
  <si>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</si>
  <si>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</si>
  <si>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</si>
  <si>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</si>
  <si>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</si>
  <si>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</si>
  <si>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</si>
  <si>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</si>
  <si>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</si>
  <si>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</si>
  <si>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</si>
  <si>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</si>
  <si>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</si>
  <si>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</si>
  <si>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</si>
  <si>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</si>
  <si>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</si>
  <si>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</si>
  <si>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</si>
  <si>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</si>
  <si>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</si>
  <si>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</si>
  <si>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</si>
  <si>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</si>
  <si>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</si>
  <si>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</si>
  <si>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</si>
  <si>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</si>
  <si>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</si>
  <si>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</si>
  <si>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</si>
  <si>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</si>
  <si>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</si>
  <si>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</si>
  <si>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</si>
  <si>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</si>
  <si>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</si>
  <si>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</si>
  <si>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</si>
  <si>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</si>
  <si>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</si>
  <si>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</si>
  <si>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</si>
  <si>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</si>
  <si>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</si>
  <si>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</si>
  <si>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</si>
  <si>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</si>
  <si>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</si>
  <si>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</si>
  <si>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</si>
  <si>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</si>
  <si>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</si>
  <si>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</si>
  <si>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</si>
  <si>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</si>
  <si>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</si>
  <si>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</si>
  <si>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</si>
  <si>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</si>
  <si>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</si>
  <si>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</si>
  <si>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</si>
  <si>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</si>
  <si>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</si>
  <si>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</si>
  <si>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</si>
  <si>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</si>
  <si>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</si>
  <si>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</si>
  <si>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</si>
  <si>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</si>
  <si>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</si>
  <si>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</si>
  <si>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</si>
  <si>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</si>
  <si>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</si>
  <si>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</si>
  <si>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</si>
  <si>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</si>
  <si>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</si>
  <si>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</si>
  <si>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</si>
  <si>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</si>
  <si>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</si>
  <si>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</si>
  <si>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</si>
  <si>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</si>
  <si>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</si>
  <si>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</si>
  <si>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</si>
  <si>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</si>
  <si>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</si>
  <si>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</si>
  <si>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</si>
  <si>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</si>
  <si>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</si>
  <si>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</si>
  <si>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</si>
  <si>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</si>
  <si>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</si>
  <si>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</si>
  <si>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</si>
  <si>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</si>
  <si>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</si>
  <si>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</si>
  <si>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</si>
  <si>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</si>
  <si>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</si>
  <si>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</si>
  <si>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</si>
  <si>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</si>
  <si>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</si>
  <si>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</si>
  <si>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</si>
  <si>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</si>
  <si>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</si>
  <si>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</si>
  <si>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</si>
  <si>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</si>
  <si>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</si>
  <si>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</si>
  <si>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</si>
  <si>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</si>
  <si>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</si>
  <si>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</si>
  <si>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</si>
  <si>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</si>
  <si>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</si>
  <si>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</si>
  <si>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</si>
  <si>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</si>
  <si>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</si>
  <si>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</si>
  <si>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</si>
  <si>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</si>
  <si>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</si>
  <si>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</si>
  <si>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</si>
  <si>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</si>
  <si>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</si>
  <si>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</si>
  <si>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</si>
  <si>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</si>
  <si>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</si>
  <si>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</si>
  <si>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</si>
  <si>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</si>
  <si>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</si>
  <si>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</si>
  <si>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</si>
  <si>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</si>
  <si>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</si>
  <si>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</si>
  <si>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</si>
  <si>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</si>
  <si>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</si>
  <si>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</si>
  <si>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</si>
  <si>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</si>
  <si>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</si>
  <si>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</si>
  <si>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</si>
  <si>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</si>
  <si>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</si>
  <si>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</si>
  <si>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</si>
  <si>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</si>
  <si>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</si>
  <si>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</si>
  <si>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</si>
  <si>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</si>
  <si>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</si>
  <si>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</si>
  <si>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</si>
  <si>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</si>
  <si>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</si>
  <si>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</si>
  <si>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</si>
  <si>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</si>
  <si>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</si>
  <si>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</si>
  <si>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</si>
  <si>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</si>
  <si>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</si>
  <si>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</si>
  <si>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</si>
  <si>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</si>
  <si>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</si>
  <si>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</si>
  <si>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</si>
  <si>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</si>
  <si>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</si>
  <si>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</si>
  <si>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</si>
  <si>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</si>
  <si>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</si>
  <si>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</si>
  <si>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</si>
  <si>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</si>
  <si>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</si>
  <si>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</si>
  <si>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</si>
  <si>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</si>
  <si>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</si>
  <si>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</si>
  <si>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</si>
  <si>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</si>
  <si>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</si>
  <si>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</si>
  <si>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</si>
  <si>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</si>
  <si>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</si>
  <si>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</si>
  <si>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</si>
  <si>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</si>
  <si>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</si>
  <si>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</si>
  <si>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</si>
  <si>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</si>
  <si>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</si>
  <si>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</si>
  <si>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</si>
  <si>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</si>
  <si>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</si>
  <si>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</si>
  <si>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</si>
  <si>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</si>
  <si>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</si>
  <si>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</si>
  <si>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</si>
  <si>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</si>
  <si>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</si>
  <si>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</si>
  <si>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</si>
  <si>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</si>
  <si>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</si>
  <si>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</si>
  <si>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</si>
  <si>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</si>
  <si>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</si>
  <si>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</si>
  <si>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</si>
  <si>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</si>
  <si>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</si>
  <si>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</si>
  <si>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</si>
  <si>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</si>
  <si>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</si>
  <si>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</si>
  <si>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</si>
  <si>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</si>
  <si>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</si>
  <si>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</si>
  <si>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</si>
  <si>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</si>
  <si>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</si>
  <si>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</si>
  <si>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</si>
  <si>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</si>
  <si>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</si>
  <si>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</si>
  <si>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</si>
  <si>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</si>
  <si>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</si>
  <si>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</si>
  <si>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</si>
  <si>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</si>
  <si>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</si>
  <si>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</si>
  <si>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</si>
  <si>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</si>
  <si>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</si>
  <si>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</si>
  <si>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</si>
  <si>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</si>
  <si>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</si>
  <si>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</si>
  <si>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</si>
  <si>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</si>
  <si>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</si>
  <si>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</si>
  <si>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</si>
  <si>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</si>
  <si>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</si>
  <si>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</si>
  <si>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</si>
  <si>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</si>
  <si>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</si>
  <si>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</si>
  <si>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</si>
  <si>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</si>
  <si>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</si>
  <si>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</si>
  <si>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</si>
  <si>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</si>
  <si>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</si>
  <si>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</si>
  <si>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</si>
  <si>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</si>
  <si>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</si>
  <si>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</si>
  <si>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</si>
  <si>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</si>
  <si>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</si>
  <si>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</si>
  <si>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</si>
  <si>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</si>
  <si>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</si>
  <si>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</si>
  <si>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</si>
  <si>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</si>
  <si>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</si>
  <si>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</si>
  <si>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</si>
  <si>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</si>
  <si>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</si>
  <si>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</si>
  <si>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</si>
  <si>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</si>
  <si>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</si>
  <si>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</si>
  <si>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</si>
  <si>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</si>
  <si>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</si>
  <si>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</si>
  <si>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</si>
  <si>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</si>
  <si>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</si>
  <si>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</si>
  <si>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</si>
  <si>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</si>
  <si>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</si>
  <si>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</si>
  <si>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</si>
  <si>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</si>
  <si>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</si>
  <si>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</si>
  <si>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</si>
  <si>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</si>
  <si>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</si>
  <si>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</si>
  <si>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</si>
  <si>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</si>
  <si>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</si>
  <si>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</si>
  <si>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</si>
  <si>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</si>
  <si>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</si>
  <si>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</si>
  <si>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</si>
  <si>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</si>
  <si>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</si>
  <si>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</si>
  <si>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</si>
  <si>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</si>
  <si>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</si>
  <si>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</si>
  <si>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</si>
  <si>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</si>
  <si>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</si>
  <si>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</si>
  <si>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</si>
  <si>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</si>
  <si>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</si>
  <si>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</si>
  <si>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</si>
  <si>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</si>
  <si>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</si>
  <si>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</si>
  <si>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</si>
  <si>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</si>
  <si>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</si>
  <si>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</si>
  <si>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</si>
  <si>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</si>
  <si>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</si>
  <si>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</si>
  <si>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</si>
  <si>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</si>
  <si>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</si>
  <si>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</si>
  <si>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</si>
  <si>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</si>
  <si>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</si>
  <si>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</si>
  <si>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</si>
  <si>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</si>
  <si>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</si>
  <si>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</si>
  <si>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</si>
  <si>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</si>
  <si>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</si>
  <si>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</si>
  <si>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</si>
  <si>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</si>
  <si>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</si>
  <si>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</si>
  <si>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</si>
  <si>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</si>
  <si>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</si>
  <si>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</si>
  <si>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</si>
  <si>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</si>
  <si>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</si>
  <si>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</si>
  <si>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</si>
  <si>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</si>
  <si>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</si>
  <si>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</si>
  <si>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</si>
  <si>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</si>
  <si>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</si>
  <si>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</si>
  <si>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</si>
  <si>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</si>
  <si>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</si>
  <si>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</si>
  <si>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</si>
  <si>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</si>
  <si>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</si>
  <si>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</si>
  <si>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</si>
  <si>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</si>
  <si>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</si>
  <si>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</si>
  <si>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</si>
  <si>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</si>
  <si>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</si>
  <si>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</si>
  <si>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</si>
  <si>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</si>
  <si>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</si>
  <si>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</si>
  <si>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</si>
  <si>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</si>
  <si>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</si>
  <si>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</si>
  <si>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</si>
  <si>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</si>
  <si>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</si>
  <si>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</si>
  <si>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</si>
  <si>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</si>
  <si>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</si>
  <si>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</si>
  <si>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</si>
  <si>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</si>
  <si>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</si>
  <si>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</si>
  <si>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</si>
  <si>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</si>
  <si>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</si>
  <si>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</si>
  <si>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</si>
  <si>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</si>
  <si>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</si>
  <si>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</si>
  <si>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</si>
  <si>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</si>
  <si>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</si>
  <si>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</si>
  <si>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</si>
  <si>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</si>
  <si>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</si>
  <si>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</si>
  <si>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</si>
  <si>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</si>
  <si>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</si>
  <si>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</si>
  <si>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</si>
  <si>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</si>
  <si>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</si>
  <si>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</si>
  <si>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</si>
  <si>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</si>
  <si>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</si>
  <si>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</si>
  <si>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</si>
  <si>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</si>
  <si>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</si>
  <si>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</si>
  <si>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</si>
  <si>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</si>
  <si>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</si>
  <si>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</si>
  <si>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</si>
  <si>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</si>
  <si>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</si>
  <si>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</si>
  <si>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</si>
  <si>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</si>
  <si>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</si>
  <si>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</si>
  <si>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</si>
  <si>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</si>
  <si>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</si>
  <si>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</si>
  <si>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</si>
  <si>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</si>
  <si>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</si>
  <si>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</si>
  <si>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</si>
  <si>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</si>
  <si>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</si>
  <si>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</si>
  <si>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</si>
  <si>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</si>
  <si>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</si>
  <si>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</si>
  <si>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</si>
  <si>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</si>
  <si>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</si>
  <si>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</si>
  <si>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</si>
  <si>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</si>
  <si>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</si>
  <si>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</si>
  <si>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</si>
  <si>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</si>
  <si>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</si>
  <si>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</si>
  <si>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</si>
  <si>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</si>
  <si>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</si>
  <si>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</si>
  <si>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</si>
  <si>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</si>
  <si>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</si>
  <si>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</si>
  <si>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</si>
  <si>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</si>
  <si>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</si>
  <si>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</si>
  <si>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</si>
  <si>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</si>
  <si>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</si>
  <si>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</si>
  <si>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</si>
  <si>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</si>
  <si>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</si>
  <si>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</si>
  <si>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</si>
  <si>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</si>
  <si>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</si>
  <si>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</si>
  <si>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</si>
  <si>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</si>
  <si>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</si>
  <si>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</si>
  <si>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</si>
  <si>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</si>
  <si>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</si>
  <si>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</si>
  <si>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</si>
  <si>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</si>
  <si>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</si>
  <si>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</si>
  <si>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</si>
  <si>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</si>
  <si>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</si>
  <si>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</si>
  <si>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</si>
  <si>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</si>
  <si>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</si>
  <si>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</si>
  <si>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</si>
  <si>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</si>
  <si>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</si>
  <si>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</si>
  <si>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</si>
  <si>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</si>
  <si>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</si>
  <si>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</si>
  <si>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</si>
  <si>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</si>
  <si>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</si>
  <si>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</si>
  <si>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</si>
  <si>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</si>
  <si>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</si>
  <si>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</si>
  <si>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</si>
  <si>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</si>
  <si>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</si>
  <si>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</si>
  <si>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</si>
  <si>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</si>
  <si>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</si>
  <si>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</si>
  <si>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</si>
  <si>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</si>
  <si>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</si>
  <si>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</si>
  <si>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</si>
  <si>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</si>
  <si>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</si>
  <si>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</si>
  <si>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</si>
  <si>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</si>
  <si>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</si>
  <si>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</si>
  <si>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</si>
  <si>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</si>
  <si>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</si>
  <si>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</si>
  <si>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</si>
  <si>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</si>
  <si>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</si>
  <si>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</si>
  <si>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</si>
  <si>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</si>
  <si>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</si>
  <si>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</si>
  <si>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</si>
  <si>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</si>
  <si>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</si>
  <si>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</si>
  <si>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</si>
  <si>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</si>
  <si>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</si>
  <si>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</si>
  <si>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</si>
  <si>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</si>
  <si>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</si>
  <si>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</si>
  <si>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</si>
  <si>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</si>
  <si>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</si>
  <si>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</si>
  <si>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</si>
  <si>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</si>
  <si>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</si>
  <si>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</si>
  <si>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</si>
  <si>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</si>
  <si>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</si>
  <si>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</si>
  <si>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</si>
  <si>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</si>
  <si>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</si>
  <si>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</si>
  <si>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</si>
  <si>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</si>
  <si>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</si>
  <si>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</si>
  <si>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</si>
  <si>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</si>
  <si>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</si>
  <si>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</si>
  <si>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</si>
  <si>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</si>
  <si>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</si>
  <si>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</si>
  <si>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</si>
  <si>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</si>
  <si>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</si>
  <si>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</si>
  <si>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</si>
  <si>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</si>
  <si>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</si>
  <si>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</si>
  <si>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</si>
  <si>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</si>
  <si>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</si>
  <si>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</si>
  <si>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</si>
  <si>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</si>
  <si>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</si>
  <si>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</si>
  <si>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</si>
  <si>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</si>
  <si>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</si>
  <si>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</si>
  <si>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</si>
  <si>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</si>
  <si>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</si>
  <si>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</si>
  <si>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</si>
  <si>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</si>
  <si>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</si>
  <si>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</si>
  <si>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</si>
  <si>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</si>
  <si>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</si>
  <si>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</si>
  <si>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</si>
  <si>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</si>
  <si>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</si>
  <si>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</si>
  <si>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</si>
  <si>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</si>
  <si>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</si>
  <si>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</si>
  <si>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</si>
  <si>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</si>
  <si>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</si>
  <si>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</si>
  <si>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</si>
  <si>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</si>
  <si>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</si>
  <si>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</si>
  <si>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</si>
  <si>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</si>
  <si>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</si>
  <si>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</si>
  <si>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</si>
  <si>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</si>
  <si>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</si>
  <si>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</si>
  <si>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</si>
  <si>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</si>
  <si>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</si>
  <si>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</si>
  <si>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</si>
  <si>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</si>
  <si>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</si>
  <si>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</si>
  <si>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</si>
  <si>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</si>
  <si>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</si>
  <si>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</si>
  <si>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</si>
  <si>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</si>
  <si>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</si>
  <si>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</si>
  <si>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</si>
  <si>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</si>
  <si>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</si>
  <si>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</si>
  <si>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</si>
  <si>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</si>
  <si>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</si>
  <si>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</si>
  <si>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</si>
  <si>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</si>
  <si>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</si>
  <si>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</si>
  <si>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</si>
  <si>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</si>
  <si>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</si>
  <si>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</si>
  <si>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</si>
  <si>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</si>
  <si>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</si>
  <si>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</si>
  <si>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</si>
  <si>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</si>
  <si>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</si>
  <si>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</si>
  <si>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</si>
  <si>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</si>
  <si>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</si>
  <si>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</si>
  <si>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</si>
  <si>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</si>
  <si>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</si>
  <si>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</si>
  <si>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</si>
  <si>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</si>
  <si>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</si>
  <si>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</si>
  <si>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</si>
  <si>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</si>
  <si>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</si>
  <si>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</si>
  <si>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</si>
  <si>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</si>
  <si>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</si>
  <si>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</si>
  <si>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</si>
  <si>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</si>
  <si>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</si>
  <si>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</si>
  <si>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</si>
  <si>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</si>
  <si>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</si>
  <si>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</si>
  <si>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</si>
  <si>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</si>
  <si>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</si>
  <si>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</si>
  <si>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</si>
  <si>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</si>
  <si>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</si>
  <si>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</si>
  <si>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</si>
  <si>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</si>
  <si>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</si>
  <si>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</si>
  <si>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</si>
  <si>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</si>
  <si>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</si>
  <si>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</si>
  <si>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</si>
  <si>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</si>
  <si>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</si>
  <si>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</si>
  <si>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</si>
  <si>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</si>
  <si>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</si>
  <si>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</si>
  <si>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</si>
  <si>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</si>
  <si>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</si>
  <si>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</si>
  <si>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</si>
  <si>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</si>
  <si>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</si>
  <si>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</si>
  <si>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</si>
  <si>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</si>
  <si>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</si>
  <si>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</si>
  <si>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</si>
  <si>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</si>
  <si>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</si>
  <si>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</si>
  <si>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</si>
  <si>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</si>
  <si>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</si>
  <si>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</si>
  <si>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</si>
  <si>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</si>
  <si>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</si>
  <si>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</si>
  <si>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</si>
  <si>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</si>
  <si>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</si>
  <si>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</si>
  <si>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</si>
  <si>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</si>
  <si>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</si>
  <si>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</si>
  <si>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</si>
  <si>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</si>
  <si>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</si>
  <si>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</si>
  <si>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</si>
  <si>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</si>
  <si>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</si>
  <si>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</si>
  <si>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</si>
  <si>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</si>
  <si>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</si>
  <si>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</si>
  <si>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</si>
  <si>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</si>
  <si>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</si>
  <si>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</si>
  <si>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</si>
  <si>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</si>
  <si>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</si>
  <si>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</si>
  <si>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</si>
  <si>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</si>
  <si>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</si>
  <si>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</si>
  <si>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</si>
  <si>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</si>
  <si>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</si>
  <si>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</si>
  <si>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</si>
  <si>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</si>
  <si>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</si>
  <si>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</si>
  <si>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</si>
  <si>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</si>
  <si>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</si>
  <si>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</si>
  <si>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</si>
  <si>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</si>
  <si>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</si>
  <si>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</si>
  <si>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</si>
  <si>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</si>
  <si>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</si>
  <si>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</si>
  <si>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</si>
  <si>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</si>
  <si>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</si>
  <si>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</si>
  <si>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</si>
  <si>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</si>
  <si>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</si>
  <si>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</si>
  <si>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</si>
  <si>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parcel </t>
  </si>
  <si>
    <t>Ruderal/ephemeral</t>
  </si>
  <si>
    <t xml:space="preserve">Reverted to baseline; </t>
  </si>
  <si>
    <t>0f2618e0</t>
  </si>
  <si>
    <t>1.2.2</t>
  </si>
  <si>
    <t>1.4</t>
  </si>
  <si>
    <t>2.1.2.1</t>
  </si>
  <si>
    <t>2.1.2.2</t>
  </si>
  <si>
    <t>4.2</t>
  </si>
  <si>
    <t>4.3</t>
  </si>
  <si>
    <t>4.4a</t>
  </si>
  <si>
    <t>4.6a.1</t>
  </si>
  <si>
    <t>4.6a.2</t>
  </si>
  <si>
    <t>4.7</t>
  </si>
  <si>
    <t>5.1</t>
  </si>
  <si>
    <t>5.2</t>
  </si>
  <si>
    <t>5.3</t>
  </si>
  <si>
    <t>5.8</t>
  </si>
  <si>
    <t>5.13</t>
  </si>
  <si>
    <t>5.17</t>
  </si>
  <si>
    <t>6.2</t>
  </si>
  <si>
    <t>6.8</t>
  </si>
  <si>
    <t>6.10</t>
  </si>
  <si>
    <t>6.12</t>
  </si>
  <si>
    <t>6.13</t>
  </si>
  <si>
    <t>6.14</t>
  </si>
  <si>
    <t>6.15</t>
  </si>
  <si>
    <t>6.16</t>
  </si>
  <si>
    <t>6.17</t>
  </si>
  <si>
    <t>6.18</t>
  </si>
  <si>
    <t>6.111</t>
  </si>
  <si>
    <t>6.112</t>
  </si>
  <si>
    <t>7.1</t>
  </si>
  <si>
    <t>7.2</t>
  </si>
  <si>
    <t>7.11</t>
  </si>
  <si>
    <t>7.14</t>
  </si>
  <si>
    <t>7.21</t>
  </si>
  <si>
    <t>7.26</t>
  </si>
  <si>
    <t>8.2</t>
  </si>
  <si>
    <t>8.5</t>
  </si>
  <si>
    <t>8.8</t>
  </si>
  <si>
    <t>8.9</t>
  </si>
  <si>
    <t>8.10</t>
  </si>
  <si>
    <t>9.1.2</t>
  </si>
  <si>
    <t>9.6</t>
  </si>
  <si>
    <t>9.12.1</t>
  </si>
  <si>
    <t>9.12.2</t>
  </si>
  <si>
    <t>9.13</t>
  </si>
  <si>
    <t>9.13b</t>
  </si>
  <si>
    <t>9.14</t>
  </si>
  <si>
    <t>9.15</t>
  </si>
  <si>
    <t>9.19</t>
  </si>
  <si>
    <t>9.24</t>
  </si>
  <si>
    <t>11.3</t>
  </si>
  <si>
    <t>11.9</t>
  </si>
  <si>
    <t>11.11</t>
  </si>
  <si>
    <t>11.15</t>
  </si>
  <si>
    <t>11.19</t>
  </si>
  <si>
    <t>12.1</t>
  </si>
  <si>
    <t>12.2</t>
  </si>
  <si>
    <t>12.5</t>
  </si>
  <si>
    <t>12.6</t>
  </si>
  <si>
    <t>12.7.1</t>
  </si>
  <si>
    <t>12.7.2</t>
  </si>
  <si>
    <t>12.9.1</t>
  </si>
  <si>
    <t>12.9.2</t>
  </si>
  <si>
    <t>13.1.1</t>
  </si>
  <si>
    <t>13.1.2</t>
  </si>
  <si>
    <t>13.2</t>
  </si>
  <si>
    <t>13.4</t>
  </si>
  <si>
    <t>13.5</t>
  </si>
  <si>
    <t>13.7</t>
  </si>
  <si>
    <t>13.9</t>
  </si>
  <si>
    <t>13.11</t>
  </si>
  <si>
    <t>13.12</t>
  </si>
  <si>
    <t>13.13</t>
  </si>
  <si>
    <t>14.1</t>
  </si>
  <si>
    <t>14.4</t>
  </si>
  <si>
    <t>14.6</t>
  </si>
  <si>
    <t>14.7</t>
  </si>
  <si>
    <t>14.9</t>
  </si>
  <si>
    <t>14.12</t>
  </si>
  <si>
    <t>14.14</t>
  </si>
  <si>
    <t>14.16</t>
  </si>
  <si>
    <t>14.17</t>
  </si>
  <si>
    <t>14.18</t>
  </si>
  <si>
    <t>14.19</t>
  </si>
  <si>
    <t>14.21</t>
  </si>
  <si>
    <t>14.22</t>
  </si>
  <si>
    <t>14.24</t>
  </si>
  <si>
    <t>15.5</t>
  </si>
  <si>
    <t>15.11</t>
  </si>
  <si>
    <t>15.12</t>
  </si>
  <si>
    <t>15.13</t>
  </si>
  <si>
    <t>15.16.1</t>
  </si>
  <si>
    <t>15.16.2</t>
  </si>
  <si>
    <t>15.18</t>
  </si>
  <si>
    <t>15.19</t>
  </si>
  <si>
    <t>15.29</t>
  </si>
  <si>
    <t>16.1</t>
  </si>
  <si>
    <t>16.2</t>
  </si>
  <si>
    <t>16.4</t>
  </si>
  <si>
    <t>16.5</t>
  </si>
  <si>
    <t>16.6</t>
  </si>
  <si>
    <t>16.7</t>
  </si>
  <si>
    <t>16.8</t>
  </si>
  <si>
    <t>33aebb2b</t>
  </si>
  <si>
    <t>603a4d31</t>
  </si>
  <si>
    <t>2778</t>
  </si>
  <si>
    <t>2781</t>
  </si>
  <si>
    <t>2785</t>
  </si>
  <si>
    <t>2788</t>
  </si>
  <si>
    <t>2797</t>
  </si>
  <si>
    <t>2798</t>
  </si>
  <si>
    <t>2801</t>
  </si>
  <si>
    <t>2802</t>
  </si>
  <si>
    <t>2803</t>
  </si>
  <si>
    <t>2804</t>
  </si>
  <si>
    <t>2814</t>
  </si>
  <si>
    <t>2815</t>
  </si>
  <si>
    <t>2831</t>
  </si>
  <si>
    <t>2833</t>
  </si>
  <si>
    <t>2834</t>
  </si>
  <si>
    <t>2835</t>
  </si>
  <si>
    <t>2836</t>
  </si>
  <si>
    <t>2837</t>
  </si>
  <si>
    <t>2838</t>
  </si>
  <si>
    <t>2839</t>
  </si>
  <si>
    <t>2840</t>
  </si>
  <si>
    <t>2842</t>
  </si>
  <si>
    <t>2843</t>
  </si>
  <si>
    <t>2845</t>
  </si>
  <si>
    <t>2846</t>
  </si>
  <si>
    <t>2848</t>
  </si>
  <si>
    <t>2849</t>
  </si>
  <si>
    <t>2850.1</t>
  </si>
  <si>
    <t>2850.2</t>
  </si>
  <si>
    <t>2853</t>
  </si>
  <si>
    <t>2854</t>
  </si>
  <si>
    <t>2856</t>
  </si>
  <si>
    <t>2857</t>
  </si>
  <si>
    <t>2858</t>
  </si>
  <si>
    <t>2859</t>
  </si>
  <si>
    <t>2864</t>
  </si>
  <si>
    <t>2865</t>
  </si>
  <si>
    <t>2875</t>
  </si>
  <si>
    <t>2879</t>
  </si>
  <si>
    <t>2888.1</t>
  </si>
  <si>
    <t>2888.2</t>
  </si>
  <si>
    <t>2890</t>
  </si>
  <si>
    <t>2893</t>
  </si>
  <si>
    <t>2896</t>
  </si>
  <si>
    <t>2899</t>
  </si>
  <si>
    <t>2905</t>
  </si>
  <si>
    <t>2912</t>
  </si>
  <si>
    <t>2913</t>
  </si>
  <si>
    <t>2914</t>
  </si>
  <si>
    <t>2916</t>
  </si>
  <si>
    <t>2917</t>
  </si>
  <si>
    <t>2919.1</t>
  </si>
  <si>
    <t>2919.2</t>
  </si>
  <si>
    <t>2920</t>
  </si>
  <si>
    <t>2924</t>
  </si>
  <si>
    <t>2925</t>
  </si>
  <si>
    <t>2926</t>
  </si>
  <si>
    <t>2928.1</t>
  </si>
  <si>
    <t>2928.2</t>
  </si>
  <si>
    <t>2929</t>
  </si>
  <si>
    <t>2932</t>
  </si>
  <si>
    <t>2936</t>
  </si>
  <si>
    <t>2937</t>
  </si>
  <si>
    <t>2938</t>
  </si>
  <si>
    <t>2939</t>
  </si>
  <si>
    <t>2941</t>
  </si>
  <si>
    <t>2942</t>
  </si>
  <si>
    <t>2944</t>
  </si>
  <si>
    <t>2949</t>
  </si>
  <si>
    <t>2958</t>
  </si>
  <si>
    <t>2961</t>
  </si>
  <si>
    <t>2962</t>
  </si>
  <si>
    <t>2963</t>
  </si>
  <si>
    <t>2964</t>
  </si>
  <si>
    <t>2965</t>
  </si>
  <si>
    <t>2967</t>
  </si>
  <si>
    <t>2968</t>
  </si>
  <si>
    <t>2969</t>
  </si>
  <si>
    <t>2971</t>
  </si>
  <si>
    <t>2974</t>
  </si>
  <si>
    <t>2979</t>
  </si>
  <si>
    <t>2981.1</t>
  </si>
  <si>
    <t>2981.2</t>
  </si>
  <si>
    <t>2982</t>
  </si>
  <si>
    <t>2985</t>
  </si>
  <si>
    <t>2987</t>
  </si>
  <si>
    <t>2989</t>
  </si>
  <si>
    <t>2992</t>
  </si>
  <si>
    <t>2994</t>
  </si>
  <si>
    <t>2995</t>
  </si>
  <si>
    <t>3002</t>
  </si>
  <si>
    <t>3009</t>
  </si>
  <si>
    <t>3015</t>
  </si>
  <si>
    <t>3016</t>
  </si>
  <si>
    <t>3018</t>
  </si>
  <si>
    <t>3019</t>
  </si>
  <si>
    <t>3024</t>
  </si>
  <si>
    <t>3033</t>
  </si>
  <si>
    <t>3035</t>
  </si>
  <si>
    <t>3036</t>
  </si>
  <si>
    <t>3037</t>
  </si>
  <si>
    <t>3038</t>
  </si>
  <si>
    <t>c5c40610</t>
  </si>
  <si>
    <t>Cab1</t>
  </si>
  <si>
    <t>Cab10</t>
  </si>
  <si>
    <t>D.1.1.1</t>
  </si>
  <si>
    <t>D.1.1.2</t>
  </si>
  <si>
    <t>D.1.2</t>
  </si>
  <si>
    <t>D.1.3.1</t>
  </si>
  <si>
    <t>D.1.3.2</t>
  </si>
  <si>
    <t>D.2.1</t>
  </si>
  <si>
    <t>D.2.2</t>
  </si>
  <si>
    <t>D.3.1</t>
  </si>
  <si>
    <t>D.3.2.1</t>
  </si>
  <si>
    <t>D.3.2.2</t>
  </si>
  <si>
    <t>D.4.1.1</t>
  </si>
  <si>
    <t>D.4.1.2</t>
  </si>
  <si>
    <t>D.5.1</t>
  </si>
  <si>
    <t>D.5.2</t>
  </si>
  <si>
    <t>D.6.1.1</t>
  </si>
  <si>
    <t>D.6.1.2</t>
  </si>
  <si>
    <t>D.6.3</t>
  </si>
  <si>
    <t>D.6.4</t>
  </si>
  <si>
    <t>D.7.1</t>
  </si>
  <si>
    <t>D.7.2</t>
  </si>
  <si>
    <t>D.7.3</t>
  </si>
  <si>
    <t>D.7.4.1</t>
  </si>
  <si>
    <t>D.7.4.2</t>
  </si>
  <si>
    <t>D.8.7</t>
  </si>
  <si>
    <t>D.8.8.1</t>
  </si>
  <si>
    <t>D.8.8.2</t>
  </si>
  <si>
    <t>D.8.9</t>
  </si>
  <si>
    <t>D.8.10</t>
  </si>
  <si>
    <t>D.8.11</t>
  </si>
  <si>
    <t>u10</t>
  </si>
  <si>
    <t>H2.02; H2.03</t>
  </si>
  <si>
    <t>H3.04; H3.07; H3.09</t>
  </si>
  <si>
    <t>H5.10</t>
  </si>
  <si>
    <t>H5.17</t>
  </si>
  <si>
    <t>H5.18;H5.19</t>
  </si>
  <si>
    <t>H5.11</t>
  </si>
  <si>
    <t>H5.04</t>
  </si>
  <si>
    <t>H5.09</t>
  </si>
  <si>
    <t>H5.12</t>
  </si>
  <si>
    <t>H5.06; H5.14</t>
  </si>
  <si>
    <t>H5.15; H5.16</t>
  </si>
  <si>
    <t>H6.02</t>
  </si>
  <si>
    <t>H6.01</t>
  </si>
  <si>
    <t>H6.05</t>
  </si>
  <si>
    <t>H7.05</t>
  </si>
  <si>
    <t>H7.07</t>
  </si>
  <si>
    <t>H7.13</t>
  </si>
  <si>
    <t>H8.04</t>
  </si>
  <si>
    <t>H10.01</t>
  </si>
  <si>
    <t>H10.01; H10.02</t>
  </si>
  <si>
    <t>H9.02</t>
  </si>
  <si>
    <t>H10.04</t>
  </si>
  <si>
    <t>H10.05</t>
  </si>
  <si>
    <t>H7.14</t>
  </si>
  <si>
    <t>H8.01</t>
  </si>
  <si>
    <t>H7.15</t>
  </si>
  <si>
    <t>H7.08</t>
  </si>
  <si>
    <t>H13.05</t>
  </si>
  <si>
    <t>H2.01</t>
  </si>
  <si>
    <t>H2.04</t>
  </si>
  <si>
    <t>H8.05</t>
  </si>
  <si>
    <t>H7.09</t>
  </si>
  <si>
    <t>H7.10; H7.11</t>
  </si>
  <si>
    <t>H3.01</t>
  </si>
  <si>
    <t>H7.12</t>
  </si>
  <si>
    <t>H3.05</t>
  </si>
  <si>
    <t>H3.06</t>
  </si>
  <si>
    <t>H3.08</t>
  </si>
  <si>
    <t>H5.05</t>
  </si>
  <si>
    <t>H6.03</t>
  </si>
  <si>
    <t>H7.04</t>
  </si>
  <si>
    <t>H7.06</t>
  </si>
  <si>
    <t>H7.01</t>
  </si>
  <si>
    <t>H7.03</t>
  </si>
  <si>
    <t>H9.03</t>
  </si>
  <si>
    <t>H8.02</t>
  </si>
  <si>
    <t>H7.16</t>
  </si>
  <si>
    <t>H9.01</t>
  </si>
  <si>
    <t>H3.03; H2.05</t>
  </si>
  <si>
    <t>H5.07</t>
  </si>
  <si>
    <t>H13.06</t>
  </si>
  <si>
    <t>H13.07</t>
  </si>
  <si>
    <t>H13.04</t>
  </si>
  <si>
    <t>H13.02; H13.03; H13.04</t>
  </si>
  <si>
    <t>H13.01</t>
  </si>
  <si>
    <t>H3.02</t>
  </si>
  <si>
    <t>111a</t>
  </si>
  <si>
    <t>111b</t>
  </si>
  <si>
    <t>115a</t>
  </si>
  <si>
    <t>115b</t>
  </si>
  <si>
    <t>184a</t>
  </si>
  <si>
    <t>184b</t>
  </si>
  <si>
    <t>29a</t>
  </si>
  <si>
    <t>29b</t>
  </si>
  <si>
    <t>57a</t>
  </si>
  <si>
    <t>57b</t>
  </si>
  <si>
    <t>80a</t>
  </si>
  <si>
    <t>80b</t>
  </si>
  <si>
    <t>Botley West Solar Farm</t>
  </si>
  <si>
    <t>Photovolt Development Partners GmbH, on behalf of SolarFive Ltd.</t>
  </si>
  <si>
    <t>RPS Consulting Services Ltd</t>
  </si>
  <si>
    <t>Development Consent Order</t>
  </si>
  <si>
    <t>Wychwood Biodiversity/RPS</t>
  </si>
  <si>
    <t>V1</t>
  </si>
  <si>
    <t xml:space="preserve"> EN010147</t>
  </si>
  <si>
    <t>4.1/0</t>
  </si>
  <si>
    <t>4.1/1</t>
  </si>
  <si>
    <t>4.2/0</t>
  </si>
  <si>
    <t>5.1/0</t>
  </si>
  <si>
    <t>5.2/0</t>
  </si>
  <si>
    <t>5.2/1</t>
  </si>
  <si>
    <t>5.3/0</t>
  </si>
  <si>
    <t>5.3/1</t>
  </si>
  <si>
    <t>5.3/2</t>
  </si>
  <si>
    <t>6.1/0</t>
  </si>
  <si>
    <t>6.2/0</t>
  </si>
  <si>
    <t>6.3/0</t>
  </si>
  <si>
    <t>6.3/1</t>
  </si>
  <si>
    <t>6.4/0</t>
  </si>
  <si>
    <t>6.5/0</t>
  </si>
  <si>
    <t>6.5/1</t>
  </si>
  <si>
    <t>6.6/0</t>
  </si>
  <si>
    <t>6.7/0</t>
  </si>
  <si>
    <t>7.1/0</t>
  </si>
  <si>
    <t>7.2/0</t>
  </si>
  <si>
    <t>7.3/0</t>
  </si>
  <si>
    <t>7.4/0</t>
  </si>
  <si>
    <t>8.1/0</t>
  </si>
  <si>
    <t>8.2/0</t>
  </si>
  <si>
    <t>8.2/1</t>
  </si>
  <si>
    <t>8.3/0</t>
  </si>
  <si>
    <t>8.4/0</t>
  </si>
  <si>
    <t>8.5/0</t>
  </si>
  <si>
    <t>8.6/0</t>
  </si>
  <si>
    <t>8.7/0</t>
  </si>
  <si>
    <t>9.1/0</t>
  </si>
  <si>
    <t>9.1/1</t>
  </si>
  <si>
    <t>9.2/0</t>
  </si>
  <si>
    <t>9.2/1</t>
  </si>
  <si>
    <t>9.3/0</t>
  </si>
  <si>
    <t>9.3/1</t>
  </si>
  <si>
    <t>9.4/0</t>
  </si>
  <si>
    <t>9.4/1</t>
  </si>
  <si>
    <t>9.5/0</t>
  </si>
  <si>
    <t>9.5/1</t>
  </si>
  <si>
    <t>9.6/0</t>
  </si>
  <si>
    <t>9.6/1</t>
  </si>
  <si>
    <t>10.1/0</t>
  </si>
  <si>
    <t>10.2/0</t>
  </si>
  <si>
    <t>10.2/1</t>
  </si>
  <si>
    <t>10.3/0</t>
  </si>
  <si>
    <t>10.4/0</t>
  </si>
  <si>
    <t>10.5/0</t>
  </si>
  <si>
    <t>10.6/0</t>
  </si>
  <si>
    <t>11.1/0</t>
  </si>
  <si>
    <t>11.1/1</t>
  </si>
  <si>
    <t>11.2/0</t>
  </si>
  <si>
    <t>11.3/0</t>
  </si>
  <si>
    <t>11.3/1</t>
  </si>
  <si>
    <t>11.4/0</t>
  </si>
  <si>
    <t>11.4/1</t>
  </si>
  <si>
    <t>11.5/0</t>
  </si>
  <si>
    <t>11.7/0</t>
  </si>
  <si>
    <t>11.7/1</t>
  </si>
  <si>
    <t>11.8/0</t>
  </si>
  <si>
    <t>11.8/1</t>
  </si>
  <si>
    <t>13.1/0</t>
  </si>
  <si>
    <t>13.1/1</t>
  </si>
  <si>
    <t>13.1/2</t>
  </si>
  <si>
    <t>13.2/0</t>
  </si>
  <si>
    <t>13.3/0</t>
  </si>
  <si>
    <t>13.3/1</t>
  </si>
  <si>
    <t>13.3/2</t>
  </si>
  <si>
    <t>13.4/0</t>
  </si>
  <si>
    <t>13.5/0</t>
  </si>
  <si>
    <t>13.5/1</t>
  </si>
  <si>
    <t>14.1/0</t>
  </si>
  <si>
    <t>14.1/1</t>
  </si>
  <si>
    <t>14.2/0</t>
  </si>
  <si>
    <t>14.3/0</t>
  </si>
  <si>
    <t>14.4/0</t>
  </si>
  <si>
    <t>14.4/1</t>
  </si>
  <si>
    <t>14.5/0</t>
  </si>
  <si>
    <t>14.6/0</t>
  </si>
  <si>
    <t>14.7/0</t>
  </si>
  <si>
    <t>15.1/0</t>
  </si>
  <si>
    <t>15.2/0</t>
  </si>
  <si>
    <t>15.3/0</t>
  </si>
  <si>
    <t>15.4/0</t>
  </si>
  <si>
    <t>16.1/0</t>
  </si>
  <si>
    <t>16.2/0</t>
  </si>
  <si>
    <t>16.2/1</t>
  </si>
  <si>
    <t>16.3/0</t>
  </si>
  <si>
    <t>16.3/1</t>
  </si>
  <si>
    <t>16.4/0</t>
  </si>
  <si>
    <t>16.4/1</t>
  </si>
  <si>
    <t>16.5/0</t>
  </si>
  <si>
    <t>16.5/1</t>
  </si>
  <si>
    <t>D.1/0</t>
  </si>
  <si>
    <t>D.1/1</t>
  </si>
  <si>
    <t>D.1/2</t>
  </si>
  <si>
    <t>D.2/0</t>
  </si>
  <si>
    <t>D.3/0</t>
  </si>
  <si>
    <t>D.4/0</t>
  </si>
  <si>
    <t>D.4/1</t>
  </si>
  <si>
    <t>D.5/0</t>
  </si>
  <si>
    <t>D.5/1</t>
  </si>
  <si>
    <t>D.6/0</t>
  </si>
  <si>
    <t>D.6/1</t>
  </si>
  <si>
    <t>D.7/0</t>
  </si>
  <si>
    <t>D.7/1</t>
  </si>
  <si>
    <t>Ev1/0</t>
  </si>
  <si>
    <t>Ev1/1</t>
  </si>
  <si>
    <t>Ev2/0</t>
  </si>
  <si>
    <t>Ev3/0</t>
  </si>
  <si>
    <t>Ev4/0</t>
  </si>
  <si>
    <t>Ev5/0</t>
  </si>
  <si>
    <t>Ev6/0</t>
  </si>
  <si>
    <t>Ev7/0</t>
  </si>
  <si>
    <t>Ev7/1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</si>
</sst>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0"/>
    <numFmt numFmtId="167" formatCode="[$-F800]dddd\,\ mmmm\ dd\,\ yyyy"/>
  </numFmts>
  <fonts count="70"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5">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 cent" xfId="32" builtinId="5"/>
  </cellStyles>
  <dxfs count="6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ill>
        <patternFill>
          <bgColor theme="6"/>
        </patternFill>
      </fill>
    </dxf>
    <dxf>
      <font>
        <color auto="1"/>
      </font>
      <fill>
        <patternFill>
          <bgColor theme="6" tint="-0.24994659260841701"/>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ont>
        <color rgb="FF383745"/>
      </font>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00000"/>
        </patternFill>
      </fill>
    </dxf>
    <dxf>
      <font>
        <color theme="0"/>
      </font>
      <fill>
        <patternFill>
          <bgColor rgb="FFC00000"/>
        </patternFill>
      </fill>
    </dxf>
    <dxf>
      <font>
        <color rgb="FFFFFFFF"/>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0000"/>
        </patternFill>
      </fill>
    </dxf>
    <dxf>
      <fill>
        <patternFill>
          <bgColor rgb="FFFF0000"/>
        </patternFill>
      </fill>
    </dxf>
    <dxf>
      <font>
        <color theme="0"/>
      </font>
      <fill>
        <patternFill>
          <bgColor rgb="FFC0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FFFFFF"/>
      </font>
      <fill>
        <patternFill>
          <bgColor rgb="FFCB0000"/>
        </patternFill>
      </fill>
    </dxf>
    <dxf>
      <fill>
        <patternFill>
          <bgColor rgb="FFFFC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ill>
        <patternFill>
          <bgColor theme="5" tint="0.79998168889431442"/>
        </patternFill>
      </fill>
    </dxf>
    <dxf>
      <font>
        <color theme="0"/>
      </font>
      <fill>
        <patternFill>
          <bgColor rgb="FFCB0000"/>
        </patternFill>
      </fill>
    </dxf>
    <dxf>
      <fill>
        <patternFill>
          <bgColor rgb="FFFFC000"/>
        </patternFill>
      </fill>
    </dxf>
    <dxf>
      <fill>
        <patternFill>
          <bgColor rgb="FFFF0000"/>
        </patternFill>
      </fill>
    </dxf>
    <dxf>
      <font>
        <color theme="0"/>
      </font>
      <fill>
        <patternFill>
          <bgColor rgb="FFCB0000"/>
        </patternFill>
      </fill>
    </dxf>
    <dxf>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383745"/>
      </font>
      <fill>
        <patternFill>
          <bgColor theme="8" tint="-0.24994659260841701"/>
        </patternFill>
      </fill>
    </dxf>
    <dxf>
      <font>
        <color rgb="FF383745"/>
      </font>
      <fill>
        <patternFill>
          <bgColor theme="6"/>
        </patternFill>
      </fill>
    </dxf>
    <dxf>
      <font>
        <color theme="0"/>
      </font>
      <fill>
        <patternFill>
          <bgColor rgb="FFCB0000"/>
        </patternFill>
      </fill>
    </dxf>
    <dxf>
      <font>
        <color rgb="FF383745"/>
      </font>
      <fill>
        <patternFill>
          <bgColor theme="8" tint="0.59996337778862885"/>
        </patternFill>
      </fill>
    </dxf>
    <dxf>
      <font>
        <color theme="0"/>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rgb="FFFFFFFF"/>
      </font>
      <fill>
        <patternFill>
          <bgColor rgb="FFCB0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FFFFFF"/>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b/>
        <i val="0"/>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ill>
        <patternFill>
          <bgColor rgb="FFFFC000"/>
        </patternFill>
      </fill>
    </dxf>
    <dxf>
      <font>
        <b/>
        <i val="0"/>
      </font>
      <fill>
        <patternFill>
          <bgColor rgb="FFFFC000"/>
        </patternFill>
      </fill>
    </dxf>
    <dxf>
      <fill>
        <patternFill>
          <bgColor rgb="FFFFC000"/>
        </patternFill>
      </fill>
    </dxf>
    <dxf>
      <fill>
        <patternFill>
          <bgColor rgb="FFFF0000"/>
        </patternFill>
      </fill>
    </dxf>
    <dxf>
      <fill>
        <patternFill>
          <bgColor rgb="FFFF0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59996337778862885"/>
        </patternFill>
      </fill>
    </dxf>
    <dxf>
      <font>
        <color rgb="FF383745"/>
      </font>
      <fill>
        <patternFill>
          <bgColor theme="8" tint="-0.24994659260841701"/>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383745"/>
      </font>
      <fill>
        <patternFill>
          <bgColor rgb="FF92D05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0000"/>
        </patternFill>
      </fill>
    </dxf>
    <dxf>
      <fill>
        <patternFill>
          <bgColor rgb="FFFFC000"/>
        </patternFill>
      </fill>
    </dxf>
    <dxf>
      <font>
        <color rgb="FFFFFFFF"/>
      </font>
      <fill>
        <patternFill>
          <bgColor rgb="FFCB0000"/>
        </patternFill>
      </fill>
    </dxf>
    <dxf>
      <fill>
        <patternFill>
          <bgColor rgb="FFFFC000"/>
        </patternFill>
      </fill>
    </dxf>
    <dxf>
      <font>
        <color theme="0"/>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ill>
        <patternFill>
          <bgColor rgb="FF92D050"/>
        </patternFill>
      </fill>
    </dxf>
    <dxf>
      <font>
        <color theme="0"/>
      </font>
      <fill>
        <patternFill>
          <bgColor rgb="FFC00000"/>
        </patternFill>
      </fill>
    </dxf>
    <dxf>
      <font>
        <color rgb="FF383745"/>
      </font>
      <fill>
        <patternFill>
          <bgColor rgb="FF92D05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ont>
        <color rgb="FF383745"/>
      </font>
      <fill>
        <patternFill>
          <bgColor theme="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383745"/>
      </font>
      <fill>
        <patternFill>
          <bgColor rgb="FF92D050"/>
        </patternFill>
      </fill>
    </dxf>
    <dxf>
      <font>
        <color rgb="FFFFFFFF"/>
      </font>
      <fill>
        <patternFill>
          <bgColor rgb="FFCB0000"/>
        </patternFill>
      </fill>
    </dxf>
    <dxf>
      <font>
        <color theme="0"/>
      </font>
      <fill>
        <patternFill>
          <bgColor rgb="FFCB0000"/>
        </patternFill>
      </fill>
    </dxf>
    <dxf>
      <font>
        <color rgb="FFFFFFFF"/>
      </font>
      <fill>
        <patternFill>
          <bgColor rgb="FFCB0000"/>
        </patternFill>
      </fill>
    </dxf>
    <dxf>
      <font>
        <color rgb="FF383745"/>
      </font>
      <fill>
        <patternFill>
          <bgColor rgb="FF92D050"/>
        </patternFill>
      </fill>
    </dxf>
    <dxf>
      <font>
        <color theme="0"/>
      </font>
      <fill>
        <patternFill>
          <bgColor rgb="FFC00000"/>
        </patternFill>
      </fill>
    </dxf>
    <dxf>
      <font>
        <color rgb="FFFFFFFF"/>
      </font>
      <fill>
        <patternFill>
          <bgColor rgb="FFCB0000"/>
        </patternFill>
      </fill>
    </dxf>
    <dxf>
      <font>
        <color theme="0"/>
      </font>
      <fill>
        <patternFill>
          <bgColor rgb="FFC00000"/>
        </patternFill>
      </fill>
    </dxf>
    <dxf>
      <fill>
        <patternFill>
          <bgColor rgb="FFFF0000"/>
        </patternFill>
      </fill>
    </dxf>
    <dxf>
      <fill>
        <patternFill>
          <bgColor rgb="FFFF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ont>
        <color theme="0"/>
      </font>
      <fill>
        <patternFill>
          <bgColor rgb="FFC00000"/>
        </patternFill>
      </fill>
    </dxf>
    <dxf>
      <fill>
        <patternFill>
          <bgColor rgb="FFFF0000"/>
        </patternFill>
      </fill>
    </dxf>
    <dxf>
      <fill>
        <patternFill>
          <bgColor rgb="FFFF0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b/>
        <i val="0"/>
        <color rgb="FFFFFFFF"/>
      </font>
      <fill>
        <patternFill>
          <bgColor rgb="FFCB0000"/>
        </patternFill>
      </fill>
    </dxf>
    <dxf>
      <font>
        <color rgb="FFFFFFFF"/>
      </font>
      <fill>
        <patternFill>
          <bgColor rgb="FFCB0000"/>
        </patternFill>
      </fill>
    </dxf>
    <dxf>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ont>
        <color rgb="FF383745"/>
      </font>
      <fill>
        <patternFill>
          <bgColor rgb="FFFFC000"/>
        </patternFill>
      </fill>
    </dxf>
    <dxf>
      <font>
        <color auto="1"/>
      </font>
      <fill>
        <patternFill>
          <bgColor rgb="FFE0DCD3"/>
        </patternFill>
      </fill>
    </dxf>
    <dxf>
      <font>
        <color rgb="FF383745"/>
      </font>
      <fill>
        <patternFill>
          <bgColor rgb="FF92D05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theme="6" tint="-0.24994659260841701"/>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theme="6"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92D050"/>
        </patternFill>
      </fill>
    </dxf>
    <dxf>
      <font>
        <color auto="1"/>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C00000"/>
        </patternFill>
      </fill>
    </dxf>
    <dxf>
      <fill>
        <patternFill>
          <bgColor rgb="FFFFC000"/>
        </patternFill>
      </fill>
    </dxf>
    <dxf>
      <font>
        <b/>
        <i val="0"/>
        <color rgb="FFFF000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ill>
        <patternFill>
          <bgColor theme="7" tint="0.79998168889431442"/>
        </patternFill>
      </fill>
    </dxf>
    <dxf>
      <fill>
        <patternFill>
          <bgColor theme="4" tint="0.59996337778862885"/>
        </patternFill>
      </fill>
    </dxf>
    <dxf>
      <fill>
        <patternFill>
          <bgColor theme="7" tint="0.39994506668294322"/>
        </patternFill>
      </fill>
    </dxf>
    <dxf>
      <fill>
        <patternFill>
          <bgColor theme="5"/>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rgb="FFFFC000"/>
        </patternFill>
      </fill>
    </dxf>
    <dxf>
      <fill>
        <patternFill>
          <bgColor theme="1"/>
        </patternFill>
      </fill>
    </dxf>
    <dxf>
      <fill>
        <patternFill>
          <bgColor rgb="FF92D05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0000"/>
        </patternFill>
      </fill>
    </dxf>
    <dxf>
      <font>
        <color theme="0"/>
      </font>
      <fill>
        <patternFill>
          <bgColor rgb="FFC00000"/>
        </patternFill>
      </fill>
    </dxf>
    <dxf>
      <fill>
        <patternFill>
          <bgColor rgb="FFFFC000"/>
        </patternFill>
      </fill>
    </dxf>
    <dxf>
      <font>
        <color auto="1"/>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rgb="FFFF0000"/>
      </font>
    </dxf>
    <dxf>
      <font>
        <b/>
        <i val="0"/>
        <color rgb="FFFF0000"/>
      </font>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92D050"/>
        </patternFill>
      </fill>
    </dxf>
  </dxfs>
  <tableStyles count="0" defaultTableStyle="TableStyleMedium2" defaultPivotStyle="PivotStyleLight16"/>
  <colors>
    <mruColors>
      <color rgb="FFABC3C9"/>
      <color rgb="FFFFFF99"/>
      <color rgb="FF000000"/>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17.683396528091812</c:v>
                </c:pt>
                <c:pt idx="1">
                  <c:v>21.031845810189665</c:v>
                </c:pt>
                <c:pt idx="2">
                  <c:v>1172.2170876299949</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7.5730000000000013</c:v>
                </c:pt>
                <c:pt idx="2">
                  <c:v>0</c:v>
                </c:pt>
                <c:pt idx="3">
                  <c:v>0</c:v>
                </c:pt>
                <c:pt idx="4">
                  <c:v>21.854100000000006</c:v>
                </c:pt>
                <c:pt idx="5">
                  <c:v>0</c:v>
                </c:pt>
                <c:pt idx="6">
                  <c:v>6.6764000000000001</c:v>
                </c:pt>
                <c:pt idx="7">
                  <c:v>0</c:v>
                </c:pt>
                <c:pt idx="8">
                  <c:v>0</c:v>
                </c:pt>
                <c:pt idx="9">
                  <c:v>31.781100000000016</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15.815800000000003</c:v>
                </c:pt>
                <c:pt idx="2">
                  <c:v>0</c:v>
                </c:pt>
                <c:pt idx="3">
                  <c:v>0</c:v>
                </c:pt>
                <c:pt idx="4">
                  <c:v>55.313381653939913</c:v>
                </c:pt>
                <c:pt idx="5">
                  <c:v>0</c:v>
                </c:pt>
                <c:pt idx="6">
                  <c:v>5.0471000000000004</c:v>
                </c:pt>
                <c:pt idx="7">
                  <c:v>0</c:v>
                </c:pt>
                <c:pt idx="8">
                  <c:v>0</c:v>
                </c:pt>
                <c:pt idx="9">
                  <c:v>21.62240000000001</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8.2428000000000026</c:v>
                </c:pt>
                <c:pt idx="2">
                  <c:v>0</c:v>
                </c:pt>
                <c:pt idx="3">
                  <c:v>0</c:v>
                </c:pt>
                <c:pt idx="4">
                  <c:v>33.459281653939911</c:v>
                </c:pt>
                <c:pt idx="5">
                  <c:v>0</c:v>
                </c:pt>
                <c:pt idx="6">
                  <c:v>-1.6292999999999997</c:v>
                </c:pt>
                <c:pt idx="7">
                  <c:v>0</c:v>
                </c:pt>
                <c:pt idx="8">
                  <c:v>0</c:v>
                </c:pt>
                <c:pt idx="9">
                  <c:v>-10.158700000000007</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0.59532115351422132</c:v>
                </c:pt>
                <c:pt idx="1">
                  <c:v>36.136089026676856</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1.7928025941594341</c:v>
                </c:pt>
                <c:pt idx="1">
                  <c:v>156.60426618989791</c:v>
                </c:pt>
                <c:pt idx="2">
                  <c:v>-2.8421709430404007E-14</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57.248335704889655</c:v>
                </c:pt>
                <c:pt idx="2">
                  <c:v>101.14873307916766</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74.441658662955717</c:v>
                </c:pt>
                <c:pt idx="2">
                  <c:v>127.90173948426539</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17.193322958066062</c:v>
                </c:pt>
                <c:pt idx="2">
                  <c:v>26.753006405097736</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5.5524086075033221</c:v>
                </c:pt>
                <c:pt idx="2">
                  <c:v>31.179001572687749</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5.5524086075033221</c:v>
                </c:pt>
                <c:pt idx="2">
                  <c:v>31.179001572687746</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95.668309074471466</c:v>
                </c:pt>
                <c:pt idx="1">
                  <c:v>44.008448238455706</c:v>
                </c:pt>
                <c:pt idx="2">
                  <c:v>2418.4023071699153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1038.0702998839545</c:v>
                </c:pt>
                <c:pt idx="1">
                  <c:v>125.89335776903762</c:v>
                </c:pt>
                <c:pt idx="2">
                  <c:v>2.0071139935784337</c:v>
                </c:pt>
                <c:pt idx="3">
                  <c:v>1.9674123836259706E-2</c:v>
                </c:pt>
                <c:pt idx="4">
                  <c:v>30.915954484689941</c:v>
                </c:pt>
                <c:pt idx="5">
                  <c:v>3.810654043153213</c:v>
                </c:pt>
                <c:pt idx="6">
                  <c:v>0</c:v>
                </c:pt>
                <c:pt idx="7">
                  <c:v>10.215275670026225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3.2937480797845708</c:v>
                </c:pt>
                <c:pt idx="1">
                  <c:v>1123.8651851966295</c:v>
                </c:pt>
                <c:pt idx="2">
                  <c:v>2.4575870977530268</c:v>
                </c:pt>
                <c:pt idx="3">
                  <c:v>1.9674123836259706E-2</c:v>
                </c:pt>
                <c:pt idx="4">
                  <c:v>0</c:v>
                </c:pt>
                <c:pt idx="5">
                  <c:v>67.027861500445283</c:v>
                </c:pt>
                <c:pt idx="6">
                  <c:v>0</c:v>
                </c:pt>
                <c:pt idx="7">
                  <c:v>14.291385489870727</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-1034.7765518041699</c:v>
                </c:pt>
                <c:pt idx="1">
                  <c:v>997.97182742759185</c:v>
                </c:pt>
                <c:pt idx="2">
                  <c:v>0.45047310417459308</c:v>
                </c:pt>
                <c:pt idx="3">
                  <c:v>0</c:v>
                </c:pt>
                <c:pt idx="4">
                  <c:v>-30.915954484689941</c:v>
                </c:pt>
                <c:pt idx="5">
                  <c:v>63.217207457292069</c:v>
                </c:pt>
                <c:pt idx="6">
                  <c:v>0</c:v>
                </c:pt>
                <c:pt idx="7">
                  <c:v>4.0761098198445023</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2113.6942459893717</c:v>
                </c:pt>
                <c:pt idx="1">
                  <c:v>279.79914765371603</c:v>
                </c:pt>
                <c:pt idx="2">
                  <c:v>17.149994559236568</c:v>
                </c:pt>
                <c:pt idx="3">
                  <c:v>9.0500969646794632E-2</c:v>
                </c:pt>
                <c:pt idx="4">
                  <c:v>64.37083245568688</c:v>
                </c:pt>
                <c:pt idx="5">
                  <c:v>1.7707742577520333</c:v>
                </c:pt>
                <c:pt idx="6">
                  <c:v>0</c:v>
                </c:pt>
                <c:pt idx="7">
                  <c:v>81.203568597432692</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7.1773442153463529</c:v>
                </c:pt>
                <c:pt idx="1">
                  <c:v>4374.5505912993522</c:v>
                </c:pt>
                <c:pt idx="2">
                  <c:v>17.335117783550452</c:v>
                </c:pt>
                <c:pt idx="3">
                  <c:v>9.0500969646794632E-2</c:v>
                </c:pt>
                <c:pt idx="4">
                  <c:v>0</c:v>
                </c:pt>
                <c:pt idx="5">
                  <c:v>139.03469782409482</c:v>
                </c:pt>
                <c:pt idx="6">
                  <c:v>0</c:v>
                </c:pt>
                <c:pt idx="7">
                  <c:v>99.184430895053609</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-2106.5169017740254</c:v>
                </c:pt>
                <c:pt idx="1">
                  <c:v>4094.7514436456363</c:v>
                </c:pt>
                <c:pt idx="2">
                  <c:v>0.18512322431388384</c:v>
                </c:pt>
                <c:pt idx="3">
                  <c:v>0</c:v>
                </c:pt>
                <c:pt idx="4">
                  <c:v>-64.37083245568688</c:v>
                </c:pt>
                <c:pt idx="5">
                  <c:v>137.26392356634278</c:v>
                </c:pt>
                <c:pt idx="6">
                  <c:v>0</c:v>
                </c:pt>
                <c:pt idx="7">
                  <c:v>17.980862297620916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8.6244022727618539</c:v>
                </c:pt>
                <c:pt idx="3">
                  <c:v>1161.2233981892327</c:v>
                </c:pt>
                <c:pt idx="4">
                  <c:v>2.3692871680001089</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6.6099999999999992E-2</c:v>
                </c:pt>
                <c:pt idx="2">
                  <c:v>0.22420000000000029</c:v>
                </c:pt>
                <c:pt idx="3">
                  <c:v>0.33339999999999981</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46.138399999999997</c:v>
                </c:pt>
                <c:pt idx="1">
                  <c:v>21.122500000000006</c:v>
                </c:pt>
                <c:pt idx="2">
                  <c:v>0.62370000000000014</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385.19090000000006</c:v>
                </c:pt>
                <c:pt idx="1">
                  <c:v>171.13884000000002</c:v>
                </c:pt>
                <c:pt idx="2">
                  <c:v>4.9662899999999972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126.5946</c:v>
                </c:pt>
                <c:pt idx="2">
                  <c:v>0</c:v>
                </c:pt>
                <c:pt idx="3">
                  <c:v>0</c:v>
                </c:pt>
                <c:pt idx="4">
                  <c:v>229.59757999999999</c:v>
                </c:pt>
                <c:pt idx="5">
                  <c:v>0</c:v>
                </c:pt>
                <c:pt idx="6">
                  <c:v>51.797140000000006</c:v>
                </c:pt>
                <c:pt idx="7">
                  <c:v>0</c:v>
                </c:pt>
                <c:pt idx="8">
                  <c:v>0</c:v>
                </c:pt>
                <c:pt idx="9">
                  <c:v>153.30670999999998</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246.7764305781964</c:v>
                </c:pt>
                <c:pt idx="2">
                  <c:v>0</c:v>
                </c:pt>
                <c:pt idx="3">
                  <c:v>0</c:v>
                </c:pt>
                <c:pt idx="4">
                  <c:v>499.93674916651264</c:v>
                </c:pt>
                <c:pt idx="5">
                  <c:v>0</c:v>
                </c:pt>
                <c:pt idx="6">
                  <c:v>40.753312568544558</c:v>
                </c:pt>
                <c:pt idx="7">
                  <c:v>0</c:v>
                </c:pt>
                <c:pt idx="8">
                  <c:v>0</c:v>
                </c:pt>
                <c:pt idx="9">
                  <c:v>106.02264000000008</c:v>
                </c:pt>
                <c:pt idx="10">
                  <c:v>0</c:v>
                </c:pt>
                <c:pt idx="11">
                  <c:v>0</c:v>
                </c:pt>
                <c:pt idx="12">
                  <c:v>0</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120.1818305781964</c:v>
                </c:pt>
                <c:pt idx="2">
                  <c:v>0</c:v>
                </c:pt>
                <c:pt idx="3">
                  <c:v>0</c:v>
                </c:pt>
                <c:pt idx="4">
                  <c:v>270.33916916651265</c:v>
                </c:pt>
                <c:pt idx="5">
                  <c:v>0</c:v>
                </c:pt>
                <c:pt idx="6">
                  <c:v>-11.043827431455448</c:v>
                </c:pt>
                <c:pt idx="7">
                  <c:v>0</c:v>
                </c:pt>
                <c:pt idx="8">
                  <c:v>0</c:v>
                </c:pt>
                <c:pt idx="9">
                  <c:v>-47.2840699999999</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15850"/>
          <a:ext cx="6856557" cy="755355"/>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48146"/>
          <a:ext cx="6693354" cy="965686"/>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5241" y="880456"/>
          <a:ext cx="5464925" cy="768323"/>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39165"/>
          <a:ext cx="6834188" cy="777501"/>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7625" y="1061561"/>
          <a:ext cx="6167438" cy="918948"/>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1069"/>
          <a:ext cx="5713730" cy="771787"/>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89159"/>
          <a:ext cx="5392103" cy="464605"/>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56310"/>
          <a:ext cx="5883115" cy="772739"/>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0025" y="1007399"/>
          <a:ext cx="4854632" cy="772478"/>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71475" y="908685"/>
          <a:ext cx="495823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67640" y="931545"/>
          <a:ext cx="5981224" cy="772739"/>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13360" y="1007269"/>
          <a:ext cx="4209098" cy="770833"/>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9427"/>
          <a:ext cx="4746480" cy="770704"/>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74383"/>
          <a:ext cx="5117783" cy="768452"/>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5621" y="1198660"/>
          <a:ext cx="5307894"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36271" y="899318"/>
          <a:ext cx="5075238" cy="761997"/>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73931"/>
          <a:ext cx="4616768"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4219" y="1206457"/>
          <a:ext cx="4355254" cy="751506"/>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581025</xdr:colOff>
          <xdr:row>11</xdr:row>
          <xdr:rowOff>161925</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2999717" y="1639412"/>
          <a:ext cx="6939757" cy="455772"/>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heetViews>
  <sheetFormatPr defaultColWidth="0" defaultRowHeight="0" customHeight="1" zeroHeight="1" x14ac:dyDescent="0.2"/>
  <cols>
    <col min="1" max="1" width="17" style="30" customWidth="1"/>
    <col min="2" max="2" width="104.85546875" style="30" bestFit="1" customWidth="1"/>
    <col min="3" max="3" width="24.42578125" style="30" bestFit="1" customWidth="1"/>
    <col min="4" max="4" width="12.85546875" style="30" customWidth="1"/>
    <col min="5" max="5" width="12.42578125" style="30" customWidth="1"/>
    <col min="6" max="6" width="18.140625" style="30" customWidth="1"/>
    <col min="7" max="7" width="31" style="30" customWidth="1"/>
    <col min="8" max="8" width="27.8554687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325" t="s">
        <v>207</v>
      </c>
      <c r="C2" s="1326"/>
      <c r="D2" s="1326"/>
      <c r="E2" s="1326"/>
      <c r="F2" s="1326"/>
      <c r="G2" s="1326"/>
      <c r="H2" s="1327"/>
      <c r="I2" s="32"/>
      <c r="J2" s="32"/>
      <c r="K2" s="32"/>
      <c r="L2" s="32"/>
      <c r="M2" s="32"/>
      <c r="N2" s="32"/>
      <c r="O2" s="32"/>
      <c r="P2" s="32"/>
      <c r="Q2" s="32"/>
    </row>
    <row r="3" spans="1:17" ht="15" customHeight="1" x14ac:dyDescent="0.2">
      <c r="A3" s="32"/>
      <c r="B3" s="1312" t="s">
        <v>208</v>
      </c>
      <c r="C3" s="1314" t="s">
        <v>209</v>
      </c>
      <c r="D3" s="1314"/>
      <c r="E3" s="1314"/>
      <c r="F3" s="1314"/>
      <c r="G3" s="1314" t="s">
        <v>210</v>
      </c>
      <c r="H3" s="1310"/>
      <c r="I3" s="219"/>
      <c r="J3" s="219"/>
      <c r="K3" s="219"/>
      <c r="L3" s="32"/>
      <c r="M3" s="32"/>
      <c r="N3" s="32"/>
      <c r="O3" s="32"/>
      <c r="P3" s="32"/>
      <c r="Q3" s="32"/>
    </row>
    <row r="4" spans="1:17" ht="14.25" customHeight="1" x14ac:dyDescent="0.2">
      <c r="A4" s="32"/>
      <c r="B4" s="1313"/>
      <c r="C4" s="1315"/>
      <c r="D4" s="1315"/>
      <c r="E4" s="1315"/>
      <c r="F4" s="1315"/>
      <c r="G4" s="1315"/>
      <c r="H4" s="1311"/>
      <c r="I4" s="219"/>
      <c r="J4" s="219"/>
      <c r="K4" s="219"/>
      <c r="L4" s="32"/>
      <c r="M4" s="32"/>
      <c r="N4" s="32"/>
      <c r="O4" s="32"/>
      <c r="P4" s="32"/>
      <c r="Q4" s="32"/>
    </row>
    <row r="5" spans="1:17" ht="20.25" x14ac:dyDescent="0.2">
      <c r="A5" s="32"/>
      <c r="B5" s="99" t="s">
        <v>211</v>
      </c>
      <c r="C5" s="1332" t="s">
        <v>240</v>
      </c>
      <c r="D5" s="1332"/>
      <c r="E5" s="1332"/>
      <c r="F5" s="1332"/>
      <c r="G5" s="1328" t="str">
        <f ca="1">IFERROR(IF(H14&lt;0,"No ▲","Yes ✓"),"")</f>
        <v>Yes ✓</v>
      </c>
      <c r="H5" s="1329"/>
      <c r="I5" s="219"/>
      <c r="J5" s="219"/>
      <c r="K5" s="219"/>
      <c r="L5" s="32"/>
      <c r="M5" s="32"/>
      <c r="N5" s="32"/>
      <c r="O5" s="32"/>
      <c r="P5" s="32"/>
      <c r="Q5" s="32"/>
    </row>
    <row r="6" spans="1:17" ht="20.25" x14ac:dyDescent="0.2">
      <c r="A6" s="32"/>
      <c r="B6" s="99" t="s">
        <v>213</v>
      </c>
      <c r="C6" s="1337" t="s">
        <v>241</v>
      </c>
      <c r="D6" s="1337"/>
      <c r="E6" s="1337"/>
      <c r="F6" s="1337"/>
      <c r="G6" s="1328" t="str">
        <f ca="1">IF(H22+H13&lt;0, "No ▲","Yes ✓")</f>
        <v>Yes ✓</v>
      </c>
      <c r="H6" s="1329"/>
      <c r="I6" s="219"/>
      <c r="J6" s="219"/>
      <c r="K6" s="219"/>
      <c r="L6" s="32"/>
      <c r="M6" s="32"/>
      <c r="N6" s="32"/>
      <c r="O6" s="32"/>
      <c r="P6" s="32"/>
      <c r="Q6" s="32"/>
    </row>
    <row r="7" spans="1:17" ht="22.5" customHeight="1" x14ac:dyDescent="0.2">
      <c r="A7" s="32"/>
      <c r="B7" s="99" t="s">
        <v>70</v>
      </c>
      <c r="C7" s="1333" t="s">
        <v>242</v>
      </c>
      <c r="D7" s="1333"/>
      <c r="E7" s="1333"/>
      <c r="F7" s="1333"/>
      <c r="G7" s="1328" t="str">
        <f ca="1">IF(H33&lt;0, "No ▲","Yes ✓")</f>
        <v>Yes ✓</v>
      </c>
      <c r="H7" s="1329"/>
      <c r="I7" s="32"/>
      <c r="J7" s="32"/>
      <c r="K7" s="32"/>
      <c r="L7" s="32"/>
      <c r="M7" s="32"/>
      <c r="N7" s="32"/>
      <c r="O7" s="32"/>
      <c r="P7" s="32"/>
      <c r="Q7" s="32"/>
    </row>
    <row r="8" spans="1:17" ht="19.5" customHeight="1" thickBot="1" x14ac:dyDescent="0.25">
      <c r="A8" s="32"/>
      <c r="B8" s="74" t="s">
        <v>243</v>
      </c>
      <c r="C8" s="1336" t="s">
        <v>242</v>
      </c>
      <c r="D8" s="1336"/>
      <c r="E8" s="1336"/>
      <c r="F8" s="1336"/>
      <c r="G8" s="1330" t="str">
        <f ca="1">IF(H44&lt;0,"No ▲","Yes ✓")</f>
        <v>Yes ✓</v>
      </c>
      <c r="H8" s="1331"/>
      <c r="I8" s="32"/>
      <c r="J8" s="32"/>
      <c r="K8" s="32"/>
      <c r="L8" s="32"/>
      <c r="M8" s="32"/>
      <c r="N8" s="32"/>
      <c r="O8" s="32"/>
      <c r="P8" s="32"/>
      <c r="Q8" s="32"/>
    </row>
    <row r="9" spans="1:17" ht="18.75" customHeight="1" x14ac:dyDescent="0.2">
      <c r="A9" s="32"/>
      <c r="H9" s="32"/>
      <c r="I9" s="32"/>
      <c r="J9" s="32"/>
      <c r="K9" s="32"/>
      <c r="L9" s="32"/>
      <c r="M9" s="32"/>
      <c r="N9" s="32"/>
      <c r="O9" s="32"/>
      <c r="P9" s="32"/>
      <c r="Q9" s="32"/>
    </row>
    <row r="10" spans="1:17" ht="14.25" x14ac:dyDescent="0.2">
      <c r="A10" s="32"/>
      <c r="B10" s="32"/>
      <c r="C10" s="32"/>
      <c r="D10" s="32"/>
      <c r="E10" s="32"/>
      <c r="F10" s="32"/>
      <c r="G10" s="32"/>
      <c r="H10" s="32"/>
      <c r="I10" s="32"/>
      <c r="J10" s="32"/>
      <c r="K10" s="32"/>
      <c r="L10" s="32"/>
      <c r="M10" s="32"/>
      <c r="N10" s="32"/>
      <c r="O10" s="32"/>
      <c r="P10" s="32"/>
      <c r="Q10" s="32"/>
    </row>
    <row r="11" spans="1:17" ht="15" thickBot="1" x14ac:dyDescent="0.25">
      <c r="A11" s="32"/>
      <c r="B11" s="32"/>
      <c r="C11" s="32"/>
      <c r="D11" s="32"/>
      <c r="E11" s="32"/>
      <c r="F11" s="32"/>
      <c r="G11" s="32"/>
      <c r="H11" s="32"/>
      <c r="I11" s="32"/>
      <c r="J11" s="32"/>
      <c r="K11" s="32"/>
      <c r="L11" s="32"/>
      <c r="M11" s="32"/>
      <c r="N11" s="32"/>
      <c r="O11" s="32"/>
      <c r="P11" s="32"/>
      <c r="Q11" s="32"/>
    </row>
    <row r="12" spans="1:17" s="33" customFormat="1" ht="52.5" customHeight="1" thickBot="1" x14ac:dyDescent="0.25">
      <c r="A12" s="32"/>
      <c r="B12" s="1322" t="s">
        <v>218</v>
      </c>
      <c r="C12" s="1323"/>
      <c r="D12" s="1323"/>
      <c r="E12" s="1324"/>
      <c r="F12" s="606"/>
      <c r="G12" s="1301" t="s">
        <v>219</v>
      </c>
      <c r="H12" s="1302"/>
      <c r="K12" s="32"/>
      <c r="L12" s="32"/>
      <c r="M12" s="32"/>
    </row>
    <row r="13" spans="1:17" ht="63" x14ac:dyDescent="0.2">
      <c r="A13" s="32"/>
      <c r="B13" s="70" t="s">
        <v>114</v>
      </c>
      <c r="C13" s="71" t="s">
        <v>221</v>
      </c>
      <c r="D13" s="71" t="s">
        <v>147</v>
      </c>
      <c r="E13" s="72" t="s">
        <v>222</v>
      </c>
      <c r="G13" s="73" t="s">
        <v>228</v>
      </c>
      <c r="H13" s="350">
        <f ca="1">SUMIF($E$14:$E$14,"&gt;0")</f>
        <v>0</v>
      </c>
      <c r="K13" s="32"/>
      <c r="L13" s="32"/>
      <c r="M13" s="32"/>
      <c r="N13" s="32"/>
      <c r="O13" s="32"/>
    </row>
    <row r="14" spans="1:17" ht="29.25" thickBot="1" x14ac:dyDescent="0.25">
      <c r="A14" s="32"/>
      <c r="B14" s="273" t="str">
        <f>'G-2 Habitat groups'!A150</f>
        <v>Species-rich native hedgerow with trees - associated with bank or ditch</v>
      </c>
      <c r="C14" s="355">
        <f ca="1">'G-2 Habitat groups'!R150</f>
        <v>0</v>
      </c>
      <c r="D14" s="355">
        <f>'G-2 Habitat groups'!AD150</f>
        <v>0</v>
      </c>
      <c r="E14" s="599">
        <f ca="1">'G-2 Habitat groups'!AF150</f>
        <v>0</v>
      </c>
      <c r="G14" s="74" t="s">
        <v>229</v>
      </c>
      <c r="H14" s="351">
        <f ca="1">SUMIF(E14, "&lt;0", E14)</f>
        <v>0</v>
      </c>
      <c r="K14" s="32"/>
      <c r="L14" s="32"/>
      <c r="M14" s="32"/>
      <c r="N14" s="32"/>
      <c r="O14" s="32"/>
    </row>
    <row r="15" spans="1:17" ht="15" thickBot="1" x14ac:dyDescent="0.25">
      <c r="A15" s="32"/>
      <c r="C15" s="609">
        <f ca="1">SUM(C14:C14)</f>
        <v>0</v>
      </c>
      <c r="D15" s="610">
        <f>SUM(D14:D14)</f>
        <v>0</v>
      </c>
      <c r="E15" s="344">
        <f ca="1">SUM(E14:E14)</f>
        <v>0</v>
      </c>
      <c r="G15" s="563"/>
      <c r="H15" s="32"/>
      <c r="I15" s="32"/>
      <c r="J15" s="32"/>
      <c r="K15" s="32"/>
      <c r="L15" s="32"/>
      <c r="M15" s="32"/>
      <c r="N15" s="32"/>
      <c r="O15" s="32"/>
      <c r="P15" s="32"/>
      <c r="Q15" s="32"/>
    </row>
    <row r="16" spans="1:17" ht="14.25" x14ac:dyDescent="0.2">
      <c r="A16" s="32"/>
      <c r="B16" s="32"/>
      <c r="C16" s="32"/>
      <c r="D16" s="32"/>
      <c r="E16" s="32"/>
      <c r="F16" s="32"/>
      <c r="G16" s="32"/>
      <c r="H16" s="32"/>
      <c r="I16" s="32"/>
      <c r="J16" s="32"/>
      <c r="K16" s="32"/>
      <c r="L16" s="32"/>
      <c r="M16" s="32"/>
      <c r="N16" s="32"/>
      <c r="O16" s="32"/>
      <c r="P16" s="32"/>
      <c r="Q16" s="32"/>
    </row>
    <row r="17" spans="1:17" ht="14.25" x14ac:dyDescent="0.2">
      <c r="A17" s="32"/>
      <c r="B17" s="32"/>
      <c r="C17" s="32"/>
      <c r="D17" s="32"/>
      <c r="E17" s="32"/>
      <c r="F17" s="32"/>
      <c r="G17" s="32"/>
      <c r="H17" s="32"/>
      <c r="I17" s="32"/>
      <c r="J17" s="32"/>
      <c r="K17" s="32"/>
      <c r="L17" s="32"/>
      <c r="M17" s="32"/>
      <c r="N17" s="32"/>
      <c r="O17" s="32"/>
      <c r="P17" s="32"/>
      <c r="Q17" s="32"/>
    </row>
    <row r="18" spans="1:17" ht="14.25" x14ac:dyDescent="0.2">
      <c r="A18" s="32"/>
      <c r="B18" s="32"/>
      <c r="C18" s="32"/>
      <c r="D18" s="32"/>
      <c r="E18" s="32"/>
      <c r="F18" s="32"/>
      <c r="G18" s="32"/>
      <c r="H18" s="32"/>
      <c r="I18" s="32"/>
      <c r="J18" s="32"/>
      <c r="K18" s="32"/>
      <c r="L18" s="32"/>
      <c r="M18" s="32"/>
      <c r="N18" s="32"/>
      <c r="O18" s="32"/>
      <c r="P18" s="32"/>
      <c r="Q18" s="32"/>
    </row>
    <row r="19" spans="1:17" ht="15" thickBot="1" x14ac:dyDescent="0.25">
      <c r="A19" s="32"/>
      <c r="B19" s="32"/>
      <c r="C19" s="32"/>
      <c r="D19" s="32"/>
      <c r="E19" s="32"/>
      <c r="F19" s="32"/>
      <c r="G19" s="32"/>
      <c r="H19" s="32"/>
      <c r="I19" s="32"/>
      <c r="J19" s="32"/>
      <c r="K19" s="32"/>
      <c r="L19" s="32"/>
      <c r="M19" s="32"/>
      <c r="N19" s="32"/>
      <c r="O19" s="32"/>
      <c r="P19" s="32"/>
      <c r="Q19" s="32"/>
    </row>
    <row r="20" spans="1:17" ht="68.099999999999994" customHeight="1" thickBot="1" x14ac:dyDescent="0.25">
      <c r="A20" s="32"/>
      <c r="B20" s="1338" t="s">
        <v>225</v>
      </c>
      <c r="C20" s="1339"/>
      <c r="D20" s="1339"/>
      <c r="E20" s="1340"/>
      <c r="F20" s="603"/>
      <c r="G20" s="1301" t="s">
        <v>226</v>
      </c>
      <c r="H20" s="1302"/>
      <c r="K20" s="32"/>
      <c r="L20" s="32"/>
      <c r="M20" s="32"/>
      <c r="N20" s="32"/>
      <c r="O20" s="32"/>
    </row>
    <row r="21" spans="1:17" ht="63" x14ac:dyDescent="0.2">
      <c r="A21" s="32"/>
      <c r="B21" s="70" t="s">
        <v>114</v>
      </c>
      <c r="C21" s="71" t="s">
        <v>120</v>
      </c>
      <c r="D21" s="71" t="s">
        <v>147</v>
      </c>
      <c r="E21" s="72" t="s">
        <v>233</v>
      </c>
      <c r="G21" s="73" t="s">
        <v>228</v>
      </c>
      <c r="H21" s="350">
        <f ca="1">SUMIF(E22:E24,"&gt;0")</f>
        <v>120.1818305781964</v>
      </c>
      <c r="K21" s="32"/>
      <c r="L21" s="32"/>
    </row>
    <row r="22" spans="1:17" ht="29.25" thickBot="1" x14ac:dyDescent="0.25">
      <c r="A22" s="32"/>
      <c r="B22" s="271" t="str">
        <f>'G-2 Habitat groups'!A151</f>
        <v>Species-rich native hedgerow with trees</v>
      </c>
      <c r="C22" s="346">
        <f ca="1">'G-2 Habitat groups'!R151</f>
        <v>120.1818305781964</v>
      </c>
      <c r="D22" s="346">
        <f>'G-2 Habitat groups'!AD151</f>
        <v>0</v>
      </c>
      <c r="E22" s="347">
        <f ca="1">'G-2 Habitat groups'!AF151</f>
        <v>120.1818305781964</v>
      </c>
      <c r="G22" s="74" t="s">
        <v>244</v>
      </c>
      <c r="H22" s="351">
        <f ca="1">(SUMIF(E22:E24, "&lt;0", E22:E24))+H13</f>
        <v>0</v>
      </c>
      <c r="K22" s="32"/>
      <c r="L22" s="32"/>
    </row>
    <row r="23" spans="1:17" ht="14.25" x14ac:dyDescent="0.2">
      <c r="A23" s="32"/>
      <c r="B23" s="271" t="str">
        <f>'G-2 Habitat groups'!A152</f>
        <v>Species-rich native hedgerow - associated with bank or ditch</v>
      </c>
      <c r="C23" s="346">
        <f ca="1">'G-2 Habitat groups'!R152</f>
        <v>0</v>
      </c>
      <c r="D23" s="346">
        <f>'G-2 Habitat groups'!AD152</f>
        <v>0</v>
      </c>
      <c r="E23" s="347">
        <f ca="1">'G-2 Habitat groups'!AF152</f>
        <v>0</v>
      </c>
      <c r="G23" s="608"/>
      <c r="H23" s="32"/>
    </row>
    <row r="24" spans="1:17" ht="15" customHeight="1" thickBot="1" x14ac:dyDescent="0.25">
      <c r="A24" s="32"/>
      <c r="B24" s="273" t="str">
        <f>'G-2 Habitat groups'!A153</f>
        <v>Native hedgerow with trees - associated with bank or ditch</v>
      </c>
      <c r="C24" s="355">
        <f ca="1">'G-2 Habitat groups'!R153</f>
        <v>0</v>
      </c>
      <c r="D24" s="355">
        <f>'G-2 Habitat groups'!AD153</f>
        <v>0</v>
      </c>
      <c r="E24" s="599">
        <f ca="1">'G-2 Habitat groups'!AF153</f>
        <v>0</v>
      </c>
      <c r="G24" s="608"/>
      <c r="H24" s="32"/>
      <c r="K24" s="32"/>
      <c r="L24" s="32"/>
    </row>
    <row r="25" spans="1:17" ht="14.25" hidden="1" x14ac:dyDescent="0.2">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45" customHeight="1" thickBot="1" x14ac:dyDescent="0.25">
      <c r="A26" s="32"/>
      <c r="B26" s="32"/>
      <c r="C26" s="756">
        <f ca="1">SUM(C22:C25)</f>
        <v>120.1818305781964</v>
      </c>
      <c r="D26" s="343">
        <f>SUM(D22:D25)</f>
        <v>0</v>
      </c>
      <c r="E26" s="344">
        <f ca="1">SUM(E22:E25)</f>
        <v>120.1818305781964</v>
      </c>
      <c r="H26" s="32"/>
      <c r="K26" s="32"/>
      <c r="L26" s="32"/>
      <c r="M26" s="32"/>
      <c r="N26" s="32"/>
      <c r="O26" s="32"/>
    </row>
    <row r="27" spans="1:17" ht="14.25" x14ac:dyDescent="0.2">
      <c r="A27" s="32"/>
      <c r="B27" s="32"/>
      <c r="C27" s="32"/>
      <c r="D27" s="32"/>
      <c r="E27" s="32"/>
      <c r="F27" s="32"/>
      <c r="G27" s="32"/>
      <c r="H27" s="32"/>
      <c r="I27" s="32"/>
      <c r="J27" s="32"/>
      <c r="K27" s="32"/>
      <c r="L27" s="32"/>
      <c r="M27" s="32"/>
      <c r="N27" s="32"/>
      <c r="O27" s="32"/>
      <c r="P27" s="32"/>
      <c r="Q27" s="32"/>
    </row>
    <row r="28" spans="1:17" ht="14.25" x14ac:dyDescent="0.2">
      <c r="A28" s="32"/>
      <c r="B28" s="32"/>
      <c r="C28" s="32"/>
      <c r="D28" s="32"/>
      <c r="E28" s="32"/>
      <c r="F28" s="32"/>
      <c r="G28" s="32"/>
      <c r="H28" s="32"/>
      <c r="I28" s="32"/>
      <c r="J28" s="32"/>
      <c r="K28" s="32"/>
      <c r="L28" s="32"/>
      <c r="M28" s="32"/>
      <c r="N28" s="32"/>
      <c r="O28" s="32"/>
      <c r="P28" s="32"/>
      <c r="Q28" s="32"/>
    </row>
    <row r="29" spans="1:17" ht="15" thickBot="1" x14ac:dyDescent="0.25">
      <c r="A29" s="32"/>
      <c r="B29" s="32"/>
      <c r="C29" s="32"/>
      <c r="D29" s="32"/>
      <c r="E29" s="32"/>
      <c r="F29" s="32"/>
      <c r="G29" s="32"/>
      <c r="H29" s="32"/>
      <c r="I29" s="32"/>
      <c r="J29" s="32"/>
      <c r="K29" s="32"/>
      <c r="L29" s="32"/>
      <c r="M29" s="32"/>
      <c r="N29" s="32"/>
      <c r="O29" s="32"/>
      <c r="P29" s="32"/>
      <c r="Q29" s="32"/>
    </row>
    <row r="30" spans="1:17" ht="28.5" thickBot="1" x14ac:dyDescent="0.35">
      <c r="A30" s="32"/>
      <c r="B30" s="1338" t="s">
        <v>231</v>
      </c>
      <c r="C30" s="1339"/>
      <c r="D30" s="1339"/>
      <c r="E30" s="1340"/>
      <c r="F30" s="603"/>
      <c r="G30" s="1334" t="s">
        <v>232</v>
      </c>
      <c r="H30" s="1335"/>
      <c r="K30" s="32"/>
      <c r="L30" s="32"/>
      <c r="M30" s="32"/>
      <c r="N30" s="32"/>
      <c r="O30" s="32"/>
      <c r="P30" s="32"/>
      <c r="Q30" s="32"/>
    </row>
    <row r="31" spans="1:17" ht="63" x14ac:dyDescent="0.2">
      <c r="A31" s="32"/>
      <c r="B31" s="70" t="s">
        <v>114</v>
      </c>
      <c r="C31" s="71" t="s">
        <v>120</v>
      </c>
      <c r="D31" s="71" t="s">
        <v>147</v>
      </c>
      <c r="E31" s="72" t="s">
        <v>233</v>
      </c>
      <c r="G31" s="707" t="s">
        <v>245</v>
      </c>
      <c r="H31" s="352">
        <f ca="1">IF(H22&gt;0, H22, 0)</f>
        <v>0</v>
      </c>
      <c r="K31" s="32"/>
      <c r="L31" s="32"/>
      <c r="M31" s="32"/>
      <c r="N31" s="32"/>
      <c r="O31" s="32"/>
      <c r="P31" s="32"/>
      <c r="Q31" s="32"/>
    </row>
    <row r="32" spans="1:17" ht="28.5" x14ac:dyDescent="0.2">
      <c r="A32" s="32"/>
      <c r="B32" s="271" t="str">
        <f>'G-2 Habitat groups'!A154</f>
        <v>Species-rich native hedgerow</v>
      </c>
      <c r="C32" s="346">
        <f ca="1">'G-2 Habitat groups'!R154</f>
        <v>270.33916916651265</v>
      </c>
      <c r="D32" s="346">
        <f>'G-2 Habitat groups'!AD154</f>
        <v>0</v>
      </c>
      <c r="E32" s="347">
        <f ca="1">'G-2 Habitat groups'!AF154</f>
        <v>270.33916916651265</v>
      </c>
      <c r="G32" s="99" t="s">
        <v>246</v>
      </c>
      <c r="H32" s="347">
        <f ca="1">E38</f>
        <v>259.29534173505721</v>
      </c>
      <c r="K32" s="32"/>
      <c r="L32" s="32"/>
      <c r="M32" s="32"/>
      <c r="N32" s="32"/>
      <c r="O32" s="32"/>
      <c r="P32" s="32"/>
      <c r="Q32" s="32"/>
    </row>
    <row r="33" spans="1:17" ht="15" thickBot="1" x14ac:dyDescent="0.25">
      <c r="A33" s="32"/>
      <c r="B33" s="271" t="str">
        <f>'G-2 Habitat groups'!A155</f>
        <v>Native hedgerow - associated with bank or ditch</v>
      </c>
      <c r="C33" s="346">
        <f ca="1">'G-2 Habitat groups'!R155</f>
        <v>0</v>
      </c>
      <c r="D33" s="346">
        <f>'G-2 Habitat groups'!AD155</f>
        <v>0</v>
      </c>
      <c r="E33" s="347">
        <f ca="1">'G-2 Habitat groups'!AF155</f>
        <v>0</v>
      </c>
      <c r="G33" s="74" t="s">
        <v>1677</v>
      </c>
      <c r="H33" s="351">
        <f ca="1">H32+H31</f>
        <v>259.29534173505721</v>
      </c>
      <c r="K33" s="32"/>
      <c r="L33" s="32"/>
      <c r="M33" s="32"/>
      <c r="N33" s="32"/>
      <c r="O33" s="32"/>
    </row>
    <row r="34" spans="1:17" ht="14.25" x14ac:dyDescent="0.2">
      <c r="A34" s="32"/>
      <c r="B34" s="271" t="str">
        <f>'G-2 Habitat groups'!A156</f>
        <v>Native hedgerow with trees</v>
      </c>
      <c r="C34" s="346">
        <f ca="1">'G-2 Habitat groups'!R156</f>
        <v>-11.043827431455448</v>
      </c>
      <c r="D34" s="346">
        <f>'G-2 Habitat groups'!AD156</f>
        <v>0</v>
      </c>
      <c r="E34" s="347">
        <f ca="1">'G-2 Habitat groups'!AF156</f>
        <v>-11.043827431455448</v>
      </c>
      <c r="K34" s="32"/>
      <c r="L34" s="32"/>
      <c r="M34" s="32"/>
      <c r="N34" s="32"/>
    </row>
    <row r="35" spans="1:17" ht="14.25" x14ac:dyDescent="0.2">
      <c r="A35" s="32"/>
      <c r="B35" s="271" t="str">
        <f>'G-2 Habitat groups'!A157</f>
        <v>Ecologically valuable line of trees</v>
      </c>
      <c r="C35" s="346">
        <f ca="1">'G-2 Habitat groups'!R157</f>
        <v>0</v>
      </c>
      <c r="D35" s="346">
        <f>'G-2 Habitat groups'!AD157</f>
        <v>0</v>
      </c>
      <c r="E35" s="347">
        <f ca="1">'G-2 Habitat groups'!AF157</f>
        <v>0</v>
      </c>
      <c r="G35" s="38"/>
      <c r="H35" s="649"/>
      <c r="K35" s="32"/>
      <c r="L35" s="32"/>
      <c r="M35" s="32"/>
      <c r="N35" s="32"/>
    </row>
    <row r="36" spans="1:17" ht="15" thickBot="1" x14ac:dyDescent="0.25">
      <c r="A36" s="32"/>
      <c r="B36" s="273" t="str">
        <f>'G-2 Habitat groups'!A158</f>
        <v>Ecologically valuable line of trees - associated with bank or ditch</v>
      </c>
      <c r="C36" s="355">
        <f ca="1">'G-2 Habitat groups'!R158</f>
        <v>0</v>
      </c>
      <c r="D36" s="355">
        <f>'G-2 Habitat groups'!AD158</f>
        <v>0</v>
      </c>
      <c r="E36" s="599">
        <f ca="1">'G-2 Habitat groups'!AF158</f>
        <v>0</v>
      </c>
      <c r="G36" s="608"/>
      <c r="H36" s="32"/>
      <c r="K36" s="32"/>
      <c r="L36" s="32"/>
      <c r="M36" s="32"/>
      <c r="N36" s="32"/>
    </row>
    <row r="37" spans="1:17" ht="14.25" hidden="1" x14ac:dyDescent="0.2">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45" customHeight="1" thickBot="1" x14ac:dyDescent="0.25">
      <c r="A38" s="32"/>
      <c r="B38" s="32"/>
      <c r="C38" s="609">
        <f ca="1">SUM(C32:C37)</f>
        <v>259.29534173505721</v>
      </c>
      <c r="D38" s="343">
        <f>SUM(D32:D37)</f>
        <v>0</v>
      </c>
      <c r="E38" s="344">
        <f ca="1">SUM(E32:E37)</f>
        <v>259.29534173505721</v>
      </c>
      <c r="H38" s="32"/>
      <c r="I38" s="32"/>
      <c r="J38" s="32"/>
      <c r="K38" s="32"/>
      <c r="L38" s="32"/>
      <c r="M38" s="32"/>
      <c r="N38" s="32"/>
      <c r="O38" s="32"/>
      <c r="P38" s="32"/>
      <c r="Q38" s="32"/>
    </row>
    <row r="39" spans="1:17" ht="14.25" x14ac:dyDescent="0.2">
      <c r="A39" s="32"/>
      <c r="B39" s="32"/>
      <c r="C39" s="32"/>
      <c r="D39" s="32"/>
      <c r="E39" s="32"/>
      <c r="F39" s="32"/>
      <c r="G39" s="32"/>
      <c r="H39" s="32"/>
      <c r="I39" s="32"/>
      <c r="J39" s="32"/>
      <c r="K39" s="32"/>
      <c r="L39" s="32"/>
      <c r="M39" s="32"/>
      <c r="N39" s="32"/>
      <c r="O39" s="32"/>
      <c r="P39" s="32"/>
      <c r="Q39" s="32"/>
    </row>
    <row r="40" spans="1:17" ht="14.25" x14ac:dyDescent="0.2">
      <c r="A40" s="32"/>
      <c r="B40" s="32"/>
      <c r="C40" s="32"/>
      <c r="D40" s="32"/>
      <c r="E40" s="32"/>
      <c r="F40" s="32"/>
      <c r="G40" s="32"/>
      <c r="H40" s="32"/>
      <c r="I40" s="32"/>
      <c r="J40" s="32"/>
      <c r="K40" s="32"/>
      <c r="L40" s="32"/>
      <c r="M40" s="32"/>
      <c r="N40" s="32"/>
      <c r="O40" s="32"/>
      <c r="P40" s="32"/>
      <c r="Q40" s="32"/>
    </row>
    <row r="41" spans="1:17" ht="15" thickBot="1" x14ac:dyDescent="0.25">
      <c r="A41" s="32"/>
      <c r="B41" s="32"/>
      <c r="C41" s="32"/>
      <c r="D41" s="32"/>
      <c r="E41" s="32"/>
      <c r="F41" s="32"/>
      <c r="G41" s="32"/>
      <c r="H41" s="32"/>
      <c r="I41" s="32"/>
      <c r="J41" s="32"/>
      <c r="K41" s="32"/>
      <c r="L41" s="32"/>
      <c r="M41" s="32"/>
      <c r="N41" s="32"/>
      <c r="O41" s="32"/>
      <c r="P41" s="32"/>
      <c r="Q41" s="32"/>
    </row>
    <row r="42" spans="1:17" ht="26.25" thickBot="1" x14ac:dyDescent="0.35">
      <c r="A42" s="32"/>
      <c r="B42" s="611" t="s">
        <v>247</v>
      </c>
      <c r="C42" s="607"/>
      <c r="D42" s="607"/>
      <c r="E42" s="605"/>
      <c r="F42" s="32"/>
      <c r="G42" s="1299" t="s">
        <v>238</v>
      </c>
      <c r="H42" s="1300"/>
      <c r="I42" s="32"/>
      <c r="J42" s="32"/>
      <c r="K42" s="32"/>
      <c r="L42" s="32"/>
      <c r="M42" s="32"/>
      <c r="N42" s="32"/>
      <c r="O42" s="32"/>
      <c r="P42" s="32"/>
      <c r="Q42" s="32"/>
    </row>
    <row r="43" spans="1:17" ht="63" x14ac:dyDescent="0.2">
      <c r="A43" s="32"/>
      <c r="B43" s="70" t="s">
        <v>114</v>
      </c>
      <c r="C43" s="71" t="s">
        <v>221</v>
      </c>
      <c r="D43" s="71" t="s">
        <v>147</v>
      </c>
      <c r="E43" s="72" t="s">
        <v>233</v>
      </c>
      <c r="F43" s="32"/>
      <c r="G43" s="73" t="s">
        <v>239</v>
      </c>
      <c r="H43" s="352">
        <f ca="1">E48</f>
        <v>-47.2840699999999</v>
      </c>
      <c r="I43" s="32"/>
      <c r="J43" s="32"/>
      <c r="K43" s="32"/>
      <c r="L43" s="32"/>
      <c r="M43" s="32"/>
      <c r="N43" s="32"/>
      <c r="O43" s="32"/>
      <c r="P43" s="32"/>
      <c r="Q43" s="32"/>
    </row>
    <row r="44" spans="1:17" ht="15" thickBot="1" x14ac:dyDescent="0.25">
      <c r="A44" s="32"/>
      <c r="B44" s="215" t="str">
        <f>'G-2 Habitat groups'!A159</f>
        <v>Native hedgerow</v>
      </c>
      <c r="C44" s="346">
        <f ca="1">'G-2 Habitat groups'!R159</f>
        <v>-47.2840699999999</v>
      </c>
      <c r="D44" s="346">
        <f>'G-2 Habitat groups'!AD159</f>
        <v>0</v>
      </c>
      <c r="E44" s="347">
        <f ca="1">'G-2 Habitat groups'!AF159</f>
        <v>-47.2840699999999</v>
      </c>
      <c r="F44" s="32"/>
      <c r="G44" s="74" t="s">
        <v>1677</v>
      </c>
      <c r="H44" s="351">
        <f ca="1">IF(H33&gt;0, H43+H33, H43)</f>
        <v>212.01127173505731</v>
      </c>
      <c r="I44" s="32"/>
      <c r="J44" s="32"/>
      <c r="K44" s="32"/>
      <c r="L44" s="32"/>
      <c r="M44" s="32"/>
      <c r="N44" s="32"/>
      <c r="O44" s="32"/>
      <c r="P44" s="32"/>
      <c r="Q44" s="32"/>
    </row>
    <row r="45" spans="1:17" ht="14.25" x14ac:dyDescent="0.2">
      <c r="A45" s="32"/>
      <c r="B45" s="215" t="str">
        <f>'G-2 Habitat groups'!A160</f>
        <v>Line of trees</v>
      </c>
      <c r="C45" s="346">
        <f ca="1">'G-2 Habitat groups'!R160</f>
        <v>0</v>
      </c>
      <c r="D45" s="346">
        <f>'G-2 Habitat groups'!AD160</f>
        <v>0</v>
      </c>
      <c r="E45" s="347">
        <f ca="1">'G-2 Habitat groups'!AF160</f>
        <v>0</v>
      </c>
      <c r="F45" s="32"/>
      <c r="G45" s="32"/>
      <c r="H45" s="32"/>
      <c r="I45" s="32"/>
      <c r="J45" s="32"/>
      <c r="K45" s="32"/>
      <c r="L45" s="32"/>
      <c r="M45" s="32"/>
      <c r="N45" s="32"/>
      <c r="O45" s="32"/>
      <c r="P45" s="32"/>
      <c r="Q45" s="32"/>
    </row>
    <row r="46" spans="1:17" ht="25.5" x14ac:dyDescent="0.2">
      <c r="A46" s="32"/>
      <c r="B46" s="215" t="str">
        <f>'G-2 Habitat groups'!A161</f>
        <v>Line of trees - associated with bank or ditch</v>
      </c>
      <c r="C46" s="346">
        <f ca="1">'G-2 Habitat groups'!R161</f>
        <v>0</v>
      </c>
      <c r="D46" s="346">
        <f>'G-2 Habitat groups'!AD161</f>
        <v>0</v>
      </c>
      <c r="E46" s="347">
        <f ca="1">'G-2 Habitat groups'!AF161</f>
        <v>0</v>
      </c>
      <c r="F46" s="606"/>
      <c r="K46" s="32"/>
      <c r="L46" s="32"/>
      <c r="M46" s="32"/>
      <c r="N46" s="32"/>
      <c r="O46" s="32"/>
      <c r="P46" s="32"/>
      <c r="Q46" s="32"/>
    </row>
    <row r="47" spans="1:17" ht="15" thickBot="1" x14ac:dyDescent="0.25">
      <c r="A47" s="32"/>
      <c r="B47" s="211" t="str">
        <f>'G-2 Habitat groups'!A162</f>
        <v>Non-native and ornamental hedgerow</v>
      </c>
      <c r="C47" s="355">
        <f ca="1">'G-2 Habitat groups'!R162</f>
        <v>0</v>
      </c>
      <c r="D47" s="355">
        <f>'G-2 Habitat groups'!AD162</f>
        <v>0</v>
      </c>
      <c r="E47" s="599">
        <f ca="1">'G-2 Habitat groups'!AF162</f>
        <v>0</v>
      </c>
      <c r="K47" s="32"/>
      <c r="L47" s="32"/>
      <c r="M47" s="32"/>
      <c r="N47" s="32"/>
      <c r="O47" s="32"/>
      <c r="P47" s="32"/>
      <c r="Q47" s="32"/>
    </row>
    <row r="48" spans="1:17" ht="15" thickBot="1" x14ac:dyDescent="0.25">
      <c r="A48" s="32"/>
      <c r="B48" s="32"/>
      <c r="C48" s="414">
        <f ca="1">SUM(C44:C47)</f>
        <v>-47.2840699999999</v>
      </c>
      <c r="D48" s="414">
        <f>SUM(D44:D47)</f>
        <v>0</v>
      </c>
      <c r="E48" s="414">
        <f ca="1">SUM(E44:E47)</f>
        <v>-47.2840699999999</v>
      </c>
      <c r="K48" s="32"/>
      <c r="L48" s="32"/>
      <c r="M48" s="32"/>
      <c r="N48" s="32"/>
      <c r="O48" s="32"/>
      <c r="P48" s="32"/>
      <c r="Q48" s="32"/>
    </row>
    <row r="49" spans="1:17" ht="14.25" x14ac:dyDescent="0.2">
      <c r="A49" s="32"/>
      <c r="G49" s="32"/>
      <c r="H49" s="32"/>
      <c r="I49" s="32"/>
      <c r="J49" s="32"/>
      <c r="K49" s="32"/>
      <c r="L49" s="32"/>
      <c r="M49" s="32"/>
      <c r="N49" s="32"/>
      <c r="O49" s="32"/>
      <c r="P49" s="32"/>
      <c r="Q49" s="32"/>
    </row>
    <row r="50" spans="1:17" ht="14.25" x14ac:dyDescent="0.2">
      <c r="A50" s="32"/>
      <c r="G50" s="32"/>
      <c r="H50" s="32"/>
      <c r="I50" s="32"/>
      <c r="J50" s="32"/>
      <c r="K50" s="32"/>
      <c r="L50" s="32"/>
      <c r="M50" s="32"/>
      <c r="N50" s="32"/>
      <c r="O50" s="32"/>
      <c r="P50" s="32"/>
      <c r="Q50" s="32"/>
    </row>
    <row r="51" spans="1:17" ht="14.25" x14ac:dyDescent="0.2">
      <c r="A51" s="32"/>
      <c r="G51" s="32"/>
      <c r="H51" s="32"/>
      <c r="I51" s="32"/>
      <c r="J51" s="32"/>
      <c r="K51" s="32"/>
      <c r="L51" s="32"/>
      <c r="M51" s="32"/>
      <c r="N51" s="32"/>
      <c r="O51" s="32"/>
      <c r="P51" s="32"/>
      <c r="Q51" s="32"/>
    </row>
    <row r="52" spans="1:17" ht="14.25" x14ac:dyDescent="0.2">
      <c r="A52" s="32"/>
      <c r="G52" s="32"/>
      <c r="H52" s="32"/>
      <c r="I52" s="32"/>
      <c r="J52" s="32"/>
      <c r="K52" s="32"/>
      <c r="L52" s="32"/>
      <c r="M52" s="32"/>
      <c r="N52" s="32"/>
      <c r="O52" s="32"/>
      <c r="P52" s="32"/>
      <c r="Q52" s="32"/>
    </row>
    <row r="53" spans="1:17" ht="14.25" x14ac:dyDescent="0.2">
      <c r="A53" s="32"/>
      <c r="B53" s="32"/>
      <c r="C53" s="32"/>
      <c r="D53" s="32"/>
      <c r="E53" s="32"/>
      <c r="F53" s="32"/>
      <c r="G53" s="32"/>
      <c r="H53" s="32"/>
      <c r="I53" s="32"/>
      <c r="J53" s="32"/>
      <c r="K53" s="32"/>
      <c r="L53" s="32"/>
      <c r="M53" s="32"/>
      <c r="N53" s="32"/>
      <c r="O53" s="32"/>
      <c r="P53" s="32"/>
      <c r="Q53" s="32"/>
    </row>
    <row r="54" spans="1:17" ht="14.25" x14ac:dyDescent="0.2">
      <c r="A54" s="32"/>
      <c r="B54" s="32"/>
      <c r="C54" s="32"/>
      <c r="D54" s="32"/>
      <c r="E54" s="32"/>
      <c r="F54" s="32"/>
      <c r="G54" s="32"/>
      <c r="H54" s="32"/>
      <c r="I54" s="32"/>
      <c r="J54" s="32"/>
      <c r="K54" s="32"/>
      <c r="L54" s="32"/>
      <c r="M54" s="32"/>
      <c r="N54" s="32"/>
      <c r="O54" s="32"/>
      <c r="P54" s="32"/>
      <c r="Q54" s="32"/>
    </row>
    <row r="55" spans="1:17" ht="14.25" x14ac:dyDescent="0.2">
      <c r="A55" s="32"/>
      <c r="B55" s="32"/>
      <c r="C55" s="32"/>
      <c r="D55" s="32"/>
      <c r="E55" s="32"/>
      <c r="F55" s="32"/>
      <c r="G55" s="32"/>
      <c r="H55" s="32"/>
      <c r="I55" s="32"/>
      <c r="J55" s="32"/>
      <c r="K55" s="32"/>
      <c r="L55" s="32"/>
      <c r="M55" s="32"/>
      <c r="N55" s="32"/>
      <c r="O55" s="32"/>
      <c r="P55" s="32"/>
      <c r="Q55" s="32"/>
    </row>
    <row r="56" spans="1:17" ht="14.25" x14ac:dyDescent="0.2">
      <c r="A56" s="32"/>
      <c r="B56" s="32"/>
      <c r="C56" s="32"/>
      <c r="D56" s="32"/>
      <c r="E56" s="32"/>
      <c r="F56" s="32"/>
      <c r="G56" s="32"/>
      <c r="H56" s="32"/>
      <c r="I56" s="32"/>
      <c r="J56" s="32"/>
      <c r="K56" s="32"/>
      <c r="L56" s="32"/>
      <c r="M56" s="32"/>
      <c r="N56" s="32"/>
      <c r="O56" s="32"/>
      <c r="P56" s="32"/>
      <c r="Q56" s="32"/>
    </row>
    <row r="57" spans="1:17" ht="14.25" x14ac:dyDescent="0.2">
      <c r="A57" s="32"/>
      <c r="B57" s="32"/>
      <c r="C57" s="32"/>
      <c r="D57" s="32"/>
      <c r="E57" s="32"/>
      <c r="F57" s="32"/>
      <c r="G57" s="32"/>
      <c r="H57" s="32"/>
      <c r="I57" s="32"/>
      <c r="J57" s="32"/>
      <c r="K57" s="32"/>
      <c r="L57" s="32"/>
      <c r="M57" s="32"/>
      <c r="N57" s="32"/>
      <c r="O57" s="32"/>
      <c r="P57" s="32"/>
      <c r="Q57" s="32"/>
    </row>
    <row r="58" spans="1:17" ht="14.25" x14ac:dyDescent="0.2">
      <c r="A58" s="32"/>
      <c r="B58" s="32"/>
      <c r="C58" s="32"/>
      <c r="D58" s="32"/>
      <c r="E58" s="32"/>
      <c r="F58" s="32"/>
      <c r="G58" s="32"/>
      <c r="H58" s="32"/>
      <c r="I58" s="32"/>
      <c r="J58" s="32"/>
      <c r="K58" s="32"/>
      <c r="L58" s="32"/>
      <c r="M58" s="32"/>
      <c r="N58" s="32"/>
      <c r="O58" s="32"/>
      <c r="P58" s="32"/>
      <c r="Q58" s="32"/>
    </row>
    <row r="59" spans="1:17" ht="14.25" x14ac:dyDescent="0.2">
      <c r="A59" s="32"/>
      <c r="B59" s="32"/>
      <c r="C59" s="32"/>
      <c r="D59" s="32"/>
      <c r="E59" s="32"/>
      <c r="F59" s="32"/>
      <c r="G59" s="32"/>
      <c r="H59" s="32"/>
      <c r="I59" s="32"/>
      <c r="J59" s="32"/>
      <c r="K59" s="32"/>
      <c r="L59" s="32"/>
      <c r="M59" s="32"/>
      <c r="N59" s="32"/>
      <c r="O59" s="32"/>
      <c r="P59" s="32"/>
      <c r="Q59" s="32"/>
    </row>
    <row r="60" spans="1:17" ht="14.25" x14ac:dyDescent="0.2">
      <c r="A60" s="32"/>
      <c r="B60" s="32"/>
      <c r="C60" s="32"/>
      <c r="D60" s="32"/>
      <c r="E60" s="32"/>
      <c r="F60" s="32"/>
      <c r="G60" s="32"/>
      <c r="H60" s="32"/>
      <c r="I60" s="32"/>
      <c r="J60" s="32"/>
      <c r="K60" s="32"/>
      <c r="L60" s="32"/>
      <c r="M60" s="32"/>
      <c r="N60" s="32"/>
      <c r="O60" s="32"/>
      <c r="P60" s="32"/>
      <c r="Q60" s="32"/>
    </row>
    <row r="61" spans="1:17" ht="14.25" x14ac:dyDescent="0.2">
      <c r="A61" s="32"/>
      <c r="B61" s="32"/>
      <c r="C61" s="32"/>
      <c r="D61" s="32"/>
      <c r="E61" s="32"/>
      <c r="F61" s="32"/>
      <c r="G61" s="32"/>
      <c r="H61" s="32"/>
      <c r="I61" s="32"/>
      <c r="J61" s="32"/>
      <c r="K61" s="32"/>
      <c r="L61" s="32"/>
      <c r="M61" s="32"/>
      <c r="N61" s="32"/>
      <c r="O61" s="32"/>
      <c r="P61" s="32"/>
      <c r="Q61" s="32"/>
    </row>
    <row r="62" spans="1:17" ht="14.25" x14ac:dyDescent="0.2">
      <c r="A62" s="32"/>
      <c r="B62" s="32"/>
      <c r="C62" s="32"/>
      <c r="D62" s="32"/>
      <c r="E62" s="32"/>
      <c r="F62" s="32"/>
      <c r="G62" s="32"/>
      <c r="H62" s="32"/>
      <c r="I62" s="32"/>
      <c r="J62" s="32"/>
      <c r="K62" s="32"/>
      <c r="L62" s="32"/>
      <c r="M62" s="32"/>
      <c r="N62" s="32"/>
      <c r="O62" s="32"/>
      <c r="P62" s="32"/>
      <c r="Q62" s="32"/>
    </row>
    <row r="63" spans="1:17" ht="14.25" x14ac:dyDescent="0.2">
      <c r="A63" s="32"/>
      <c r="B63" s="32"/>
      <c r="C63" s="32"/>
      <c r="D63" s="32"/>
      <c r="E63" s="32"/>
      <c r="F63" s="32"/>
      <c r="G63" s="32"/>
      <c r="H63" s="32"/>
      <c r="I63" s="32"/>
      <c r="J63" s="32"/>
      <c r="K63" s="32"/>
      <c r="L63" s="32"/>
      <c r="M63" s="32"/>
      <c r="N63" s="32"/>
      <c r="O63" s="32"/>
      <c r="P63" s="32"/>
      <c r="Q63" s="32"/>
    </row>
    <row r="64" spans="1:17" ht="14.25" x14ac:dyDescent="0.2">
      <c r="A64" s="32"/>
      <c r="B64" s="32"/>
      <c r="C64" s="32"/>
      <c r="D64" s="32"/>
      <c r="E64" s="32"/>
      <c r="F64" s="32"/>
      <c r="G64" s="32"/>
      <c r="H64" s="32"/>
      <c r="I64" s="32"/>
      <c r="J64" s="32"/>
      <c r="K64" s="32"/>
      <c r="L64" s="32"/>
      <c r="M64" s="32"/>
      <c r="N64" s="32"/>
      <c r="O64" s="32"/>
      <c r="P64" s="32"/>
      <c r="Q64" s="32"/>
    </row>
    <row r="65" spans="1:17" ht="14.25" x14ac:dyDescent="0.2">
      <c r="A65" s="32"/>
      <c r="B65" s="32"/>
      <c r="C65" s="32"/>
      <c r="D65" s="32"/>
      <c r="E65" s="32"/>
      <c r="F65" s="32"/>
      <c r="G65" s="32"/>
      <c r="H65" s="32"/>
      <c r="I65" s="32"/>
      <c r="J65" s="32"/>
      <c r="K65" s="32"/>
      <c r="L65" s="32"/>
      <c r="M65" s="32"/>
      <c r="N65" s="32"/>
      <c r="O65" s="32"/>
      <c r="P65" s="32"/>
      <c r="Q65" s="32"/>
    </row>
    <row r="66" spans="1:17" ht="14.25" x14ac:dyDescent="0.2">
      <c r="A66" s="32"/>
      <c r="B66" s="32"/>
      <c r="C66" s="32"/>
      <c r="D66" s="32"/>
      <c r="E66" s="32"/>
      <c r="F66" s="32"/>
      <c r="G66" s="32"/>
      <c r="H66" s="32"/>
      <c r="I66" s="32"/>
      <c r="J66" s="32"/>
      <c r="K66" s="32"/>
      <c r="L66" s="32"/>
      <c r="M66" s="32"/>
      <c r="N66" s="32"/>
      <c r="O66" s="32"/>
      <c r="P66" s="32"/>
      <c r="Q66" s="32"/>
    </row>
    <row r="67" spans="1:17" ht="14.25" x14ac:dyDescent="0.2">
      <c r="A67" s="32"/>
      <c r="B67" s="32"/>
      <c r="C67" s="32"/>
      <c r="D67" s="32"/>
      <c r="E67" s="32"/>
      <c r="F67" s="32"/>
      <c r="G67" s="32"/>
      <c r="H67" s="32"/>
      <c r="I67" s="32"/>
      <c r="J67" s="32"/>
      <c r="K67" s="32"/>
      <c r="L67" s="32"/>
      <c r="M67" s="32"/>
      <c r="N67" s="32"/>
      <c r="O67" s="32"/>
      <c r="P67" s="32"/>
      <c r="Q67" s="32"/>
    </row>
    <row r="68" spans="1:17" ht="14.25" x14ac:dyDescent="0.2">
      <c r="A68" s="32"/>
      <c r="B68" s="32"/>
      <c r="C68" s="32"/>
      <c r="D68" s="32"/>
      <c r="E68" s="32"/>
      <c r="F68" s="32"/>
      <c r="G68" s="32"/>
      <c r="H68" s="32"/>
      <c r="I68" s="32"/>
      <c r="J68" s="32"/>
      <c r="K68" s="32"/>
      <c r="L68" s="32"/>
      <c r="M68" s="32"/>
      <c r="N68" s="32"/>
      <c r="O68" s="32"/>
      <c r="P68" s="32"/>
      <c r="Q68" s="32"/>
    </row>
    <row r="69" spans="1:17" ht="14.25" x14ac:dyDescent="0.2">
      <c r="A69" s="32"/>
      <c r="B69" s="32"/>
      <c r="C69" s="32"/>
      <c r="D69" s="32"/>
      <c r="E69" s="32"/>
      <c r="F69" s="32"/>
      <c r="G69" s="32"/>
      <c r="H69" s="32"/>
      <c r="I69" s="32"/>
      <c r="J69" s="32"/>
      <c r="K69" s="32"/>
      <c r="L69" s="32"/>
      <c r="M69" s="32"/>
      <c r="N69" s="32"/>
      <c r="O69" s="32"/>
      <c r="P69" s="32"/>
      <c r="Q69" s="32"/>
    </row>
    <row r="70" spans="1:17" ht="14.25" x14ac:dyDescent="0.2">
      <c r="A70" s="32"/>
      <c r="B70" s="32"/>
      <c r="C70" s="32"/>
      <c r="D70" s="32"/>
      <c r="E70" s="32"/>
      <c r="F70" s="32"/>
      <c r="G70" s="32"/>
      <c r="H70" s="32"/>
      <c r="I70" s="32"/>
      <c r="J70" s="32"/>
      <c r="K70" s="32"/>
      <c r="L70" s="32"/>
      <c r="M70" s="32"/>
      <c r="N70" s="32"/>
      <c r="O70" s="32"/>
      <c r="P70" s="32"/>
      <c r="Q70" s="32"/>
    </row>
    <row r="71" spans="1:17" ht="14.25" x14ac:dyDescent="0.2">
      <c r="A71" s="32"/>
      <c r="B71" s="32"/>
      <c r="C71" s="32"/>
      <c r="D71" s="32"/>
      <c r="E71" s="32"/>
      <c r="F71" s="32"/>
      <c r="G71" s="32"/>
      <c r="H71" s="32"/>
      <c r="I71" s="32"/>
      <c r="J71" s="32"/>
      <c r="K71" s="32"/>
      <c r="L71" s="32"/>
      <c r="M71" s="32"/>
      <c r="N71" s="32"/>
      <c r="O71" s="32"/>
      <c r="P71" s="32"/>
      <c r="Q71" s="32"/>
    </row>
    <row r="72" spans="1:17" ht="14.25" x14ac:dyDescent="0.2">
      <c r="A72" s="32"/>
      <c r="B72" s="32"/>
      <c r="C72" s="32"/>
      <c r="D72" s="32"/>
      <c r="E72" s="32"/>
      <c r="F72" s="32"/>
      <c r="G72" s="32"/>
      <c r="H72" s="32"/>
      <c r="I72" s="32"/>
      <c r="J72" s="32"/>
      <c r="K72" s="32"/>
      <c r="L72" s="32"/>
      <c r="M72" s="32"/>
      <c r="N72" s="32"/>
      <c r="O72" s="32"/>
      <c r="P72" s="32"/>
      <c r="Q72" s="32"/>
    </row>
    <row r="73" spans="1:17" ht="14.25" x14ac:dyDescent="0.2">
      <c r="A73" s="32"/>
      <c r="B73" s="32"/>
      <c r="C73" s="32"/>
      <c r="D73" s="32"/>
      <c r="E73" s="32"/>
      <c r="F73" s="32"/>
      <c r="G73" s="32"/>
      <c r="H73" s="32"/>
      <c r="I73" s="32"/>
      <c r="J73" s="32"/>
      <c r="K73" s="32"/>
      <c r="L73" s="32"/>
      <c r="M73" s="32"/>
      <c r="N73" s="32"/>
      <c r="O73" s="32"/>
      <c r="P73" s="32"/>
      <c r="Q73" s="32"/>
    </row>
    <row r="74" spans="1:17" ht="14.25" x14ac:dyDescent="0.2">
      <c r="A74" s="32"/>
      <c r="B74" s="32"/>
      <c r="C74" s="32"/>
      <c r="D74" s="32"/>
      <c r="E74" s="32"/>
      <c r="F74" s="32"/>
      <c r="G74" s="32"/>
      <c r="H74" s="32"/>
      <c r="I74" s="32"/>
      <c r="J74" s="32"/>
      <c r="K74" s="32"/>
      <c r="L74" s="32"/>
      <c r="M74" s="32"/>
      <c r="N74" s="32"/>
      <c r="O74" s="32"/>
      <c r="P74" s="32"/>
      <c r="Q74" s="32"/>
    </row>
    <row r="75" spans="1:17" ht="14.25" x14ac:dyDescent="0.2">
      <c r="A75" s="32"/>
      <c r="B75" s="32"/>
      <c r="C75" s="32"/>
      <c r="D75" s="32"/>
      <c r="E75" s="32"/>
      <c r="F75" s="32"/>
      <c r="G75" s="32"/>
      <c r="H75" s="32"/>
      <c r="I75" s="32"/>
      <c r="J75" s="32"/>
      <c r="K75" s="32"/>
      <c r="L75" s="32"/>
      <c r="M75" s="32"/>
      <c r="N75" s="32"/>
      <c r="O75" s="32"/>
      <c r="P75" s="32"/>
      <c r="Q75" s="32"/>
    </row>
    <row r="76" spans="1:17" ht="14.25" x14ac:dyDescent="0.2">
      <c r="A76" s="32"/>
      <c r="B76" s="32"/>
      <c r="C76" s="32"/>
      <c r="D76" s="32"/>
      <c r="E76" s="32"/>
      <c r="F76" s="32"/>
      <c r="G76" s="32"/>
      <c r="H76" s="32"/>
      <c r="I76" s="32"/>
      <c r="J76" s="32"/>
      <c r="K76" s="32"/>
      <c r="L76" s="32"/>
      <c r="M76" s="32"/>
      <c r="N76" s="32"/>
      <c r="O76" s="32"/>
      <c r="P76" s="32"/>
      <c r="Q76" s="32"/>
    </row>
    <row r="77" spans="1:17" ht="14.25" x14ac:dyDescent="0.2">
      <c r="A77" s="32"/>
      <c r="B77" s="32"/>
      <c r="C77" s="32"/>
      <c r="D77" s="32"/>
      <c r="E77" s="32"/>
      <c r="F77" s="32"/>
      <c r="G77" s="32"/>
      <c r="H77" s="32"/>
      <c r="I77" s="32"/>
      <c r="J77" s="32"/>
      <c r="K77" s="32"/>
      <c r="L77" s="32"/>
      <c r="M77" s="32"/>
      <c r="N77" s="32"/>
      <c r="O77" s="32"/>
      <c r="P77" s="32"/>
      <c r="Q77" s="32"/>
    </row>
    <row r="78" spans="1:17" ht="14.25" x14ac:dyDescent="0.2">
      <c r="A78" s="32"/>
      <c r="B78" s="32"/>
      <c r="C78" s="32"/>
      <c r="D78" s="32"/>
      <c r="E78" s="32"/>
      <c r="F78" s="32"/>
      <c r="G78" s="32"/>
      <c r="H78" s="32"/>
      <c r="I78" s="32"/>
      <c r="J78" s="32"/>
      <c r="K78" s="32"/>
      <c r="L78" s="32"/>
      <c r="M78" s="32"/>
      <c r="N78" s="32"/>
      <c r="O78" s="32"/>
      <c r="P78" s="32"/>
      <c r="Q78" s="32"/>
    </row>
    <row r="79" spans="1:17" ht="14.25" x14ac:dyDescent="0.2">
      <c r="A79" s="32"/>
      <c r="B79" s="32"/>
      <c r="C79" s="32"/>
      <c r="D79" s="32"/>
      <c r="E79" s="32"/>
      <c r="F79" s="32"/>
      <c r="G79" s="32"/>
      <c r="H79" s="32"/>
      <c r="I79" s="32"/>
      <c r="J79" s="32"/>
      <c r="K79" s="32"/>
      <c r="L79" s="32"/>
      <c r="M79" s="32"/>
      <c r="N79" s="32"/>
      <c r="O79" s="32"/>
      <c r="P79" s="32"/>
      <c r="Q79" s="32"/>
    </row>
    <row r="80" spans="1:17" ht="14.25" x14ac:dyDescent="0.2">
      <c r="A80" s="32"/>
      <c r="B80" s="32"/>
      <c r="C80" s="32"/>
      <c r="D80" s="32"/>
      <c r="E80" s="32"/>
      <c r="F80" s="32"/>
      <c r="G80" s="32"/>
      <c r="H80" s="32"/>
      <c r="I80" s="32"/>
      <c r="J80" s="32"/>
      <c r="K80" s="32"/>
      <c r="L80" s="32"/>
      <c r="M80" s="32"/>
      <c r="N80" s="32"/>
      <c r="O80" s="32"/>
      <c r="P80" s="32"/>
      <c r="Q80" s="32"/>
    </row>
    <row r="81" spans="1:17" ht="14.25" x14ac:dyDescent="0.2">
      <c r="A81" s="32"/>
      <c r="B81" s="32"/>
      <c r="C81" s="32"/>
      <c r="D81" s="32"/>
      <c r="E81" s="32"/>
      <c r="F81" s="32"/>
      <c r="G81" s="32"/>
      <c r="H81" s="32"/>
      <c r="I81" s="32"/>
      <c r="J81" s="32"/>
      <c r="K81" s="32"/>
      <c r="L81" s="32"/>
      <c r="M81" s="32"/>
      <c r="N81" s="32"/>
      <c r="O81" s="32"/>
      <c r="P81" s="32"/>
      <c r="Q81" s="32"/>
    </row>
    <row r="82" spans="1:17" ht="14.25" x14ac:dyDescent="0.2">
      <c r="A82" s="32"/>
      <c r="B82" s="32"/>
      <c r="C82" s="32"/>
      <c r="D82" s="32"/>
      <c r="E82" s="32"/>
      <c r="F82" s="32"/>
      <c r="G82" s="32"/>
      <c r="H82" s="32"/>
      <c r="I82" s="32"/>
      <c r="J82" s="32"/>
      <c r="K82" s="32"/>
      <c r="L82" s="32"/>
      <c r="M82" s="32"/>
      <c r="N82" s="32"/>
      <c r="O82" s="32"/>
      <c r="P82" s="32"/>
      <c r="Q82" s="32"/>
    </row>
    <row r="83" spans="1:17" ht="14.25" x14ac:dyDescent="0.2">
      <c r="A83" s="32"/>
      <c r="B83" s="32"/>
      <c r="C83" s="32"/>
      <c r="D83" s="32"/>
      <c r="E83" s="32"/>
      <c r="F83" s="32"/>
      <c r="G83" s="32"/>
      <c r="H83" s="32"/>
      <c r="I83" s="32"/>
      <c r="J83" s="32"/>
      <c r="K83" s="32"/>
      <c r="L83" s="32"/>
      <c r="M83" s="32"/>
      <c r="N83" s="32"/>
      <c r="O83" s="32"/>
      <c r="P83" s="32"/>
      <c r="Q83" s="32"/>
    </row>
    <row r="84" spans="1:17" ht="14.25" x14ac:dyDescent="0.2">
      <c r="A84" s="32"/>
      <c r="B84" s="32"/>
      <c r="C84" s="32"/>
      <c r="D84" s="32"/>
      <c r="E84" s="32"/>
      <c r="F84" s="32"/>
      <c r="G84" s="32"/>
      <c r="H84" s="32"/>
      <c r="I84" s="32"/>
      <c r="J84" s="32"/>
      <c r="K84" s="32"/>
      <c r="L84" s="32"/>
      <c r="M84" s="32"/>
      <c r="N84" s="32"/>
      <c r="O84" s="32"/>
      <c r="P84" s="32"/>
      <c r="Q84" s="32"/>
    </row>
    <row r="85" spans="1:17" ht="14.25" x14ac:dyDescent="0.2">
      <c r="A85" s="32"/>
      <c r="B85" s="32"/>
      <c r="C85" s="32"/>
      <c r="D85" s="32"/>
      <c r="E85" s="32"/>
      <c r="F85" s="32"/>
      <c r="G85" s="32"/>
      <c r="H85" s="32"/>
      <c r="I85" s="32"/>
      <c r="J85" s="32"/>
      <c r="K85" s="32"/>
      <c r="L85" s="32"/>
      <c r="M85" s="32"/>
      <c r="N85" s="32"/>
      <c r="O85" s="32"/>
      <c r="P85" s="32"/>
      <c r="Q85" s="32"/>
    </row>
    <row r="86" spans="1:17" ht="14.25" x14ac:dyDescent="0.2">
      <c r="A86" s="32"/>
      <c r="B86" s="32"/>
      <c r="C86" s="32"/>
      <c r="D86" s="32"/>
      <c r="E86" s="32"/>
      <c r="F86" s="32"/>
      <c r="G86" s="32"/>
      <c r="H86" s="32"/>
      <c r="I86" s="32"/>
      <c r="J86" s="32"/>
      <c r="K86" s="32"/>
      <c r="L86" s="32"/>
      <c r="M86" s="32"/>
      <c r="N86" s="32"/>
      <c r="O86" s="32"/>
      <c r="P86" s="32"/>
      <c r="Q86" s="32"/>
    </row>
    <row r="87" spans="1:17" ht="14.25" x14ac:dyDescent="0.2">
      <c r="A87" s="32"/>
      <c r="B87" s="32"/>
      <c r="C87" s="32"/>
      <c r="D87" s="32"/>
      <c r="E87" s="32"/>
      <c r="F87" s="32"/>
      <c r="G87" s="32"/>
      <c r="H87" s="32"/>
      <c r="I87" s="32"/>
      <c r="J87" s="32"/>
      <c r="K87" s="32"/>
      <c r="L87" s="32"/>
      <c r="M87" s="32"/>
      <c r="N87" s="32"/>
      <c r="O87" s="32"/>
      <c r="P87" s="32"/>
      <c r="Q87" s="32"/>
    </row>
    <row r="88" spans="1:17" ht="14.25" x14ac:dyDescent="0.2">
      <c r="A88" s="32"/>
      <c r="B88" s="32"/>
      <c r="C88" s="32"/>
      <c r="D88" s="32"/>
      <c r="E88" s="32"/>
      <c r="F88" s="32"/>
      <c r="G88" s="32"/>
      <c r="H88" s="32"/>
      <c r="I88" s="32"/>
      <c r="J88" s="32"/>
      <c r="K88" s="32"/>
      <c r="L88" s="32"/>
      <c r="M88" s="32"/>
      <c r="N88" s="32"/>
      <c r="O88" s="32"/>
      <c r="P88" s="32"/>
      <c r="Q88" s="32"/>
    </row>
    <row r="89" spans="1:17" ht="14.25" x14ac:dyDescent="0.2">
      <c r="A89" s="32"/>
      <c r="B89" s="32"/>
      <c r="C89" s="32"/>
      <c r="D89" s="32"/>
      <c r="E89" s="32"/>
      <c r="F89" s="32"/>
      <c r="G89" s="32"/>
      <c r="H89" s="32"/>
      <c r="I89" s="32"/>
      <c r="J89" s="32"/>
      <c r="K89" s="32"/>
      <c r="L89" s="32"/>
      <c r="M89" s="32"/>
      <c r="N89" s="32"/>
      <c r="O89" s="32"/>
      <c r="P89" s="32"/>
      <c r="Q89" s="32"/>
    </row>
    <row r="90" spans="1:17" ht="14.25" x14ac:dyDescent="0.2">
      <c r="A90" s="32"/>
      <c r="B90" s="32"/>
      <c r="C90" s="32"/>
      <c r="D90" s="32"/>
      <c r="E90" s="32"/>
      <c r="F90" s="32"/>
      <c r="G90" s="32"/>
      <c r="H90" s="32"/>
      <c r="I90" s="32"/>
      <c r="J90" s="32"/>
      <c r="K90" s="32"/>
      <c r="L90" s="32"/>
      <c r="M90" s="32"/>
      <c r="N90" s="32"/>
      <c r="O90" s="32"/>
      <c r="P90" s="32"/>
      <c r="Q90" s="32"/>
    </row>
    <row r="91" spans="1:17" ht="14.25" x14ac:dyDescent="0.2">
      <c r="A91" s="32"/>
      <c r="B91" s="32"/>
      <c r="C91" s="32"/>
      <c r="D91" s="32"/>
      <c r="E91" s="32"/>
      <c r="F91" s="32"/>
      <c r="G91" s="32"/>
      <c r="H91" s="32"/>
      <c r="I91" s="32"/>
      <c r="J91" s="32"/>
      <c r="K91" s="32"/>
      <c r="L91" s="32"/>
      <c r="M91" s="32"/>
      <c r="N91" s="32"/>
      <c r="O91" s="32"/>
      <c r="P91" s="32"/>
      <c r="Q91" s="32"/>
    </row>
    <row r="92" spans="1:17" ht="14.25" x14ac:dyDescent="0.2">
      <c r="A92" s="32"/>
      <c r="B92" s="32"/>
      <c r="C92" s="32"/>
      <c r="D92" s="32"/>
      <c r="E92" s="32"/>
      <c r="F92" s="32"/>
      <c r="G92" s="32"/>
      <c r="H92" s="32"/>
      <c r="I92" s="32"/>
      <c r="J92" s="32"/>
      <c r="K92" s="32"/>
      <c r="L92" s="32"/>
      <c r="M92" s="32"/>
      <c r="N92" s="32"/>
      <c r="O92" s="32"/>
      <c r="P92" s="32"/>
      <c r="Q92" s="32"/>
    </row>
    <row r="93" spans="1:17" ht="14.25" x14ac:dyDescent="0.2">
      <c r="A93" s="32"/>
      <c r="B93" s="32"/>
      <c r="C93" s="32"/>
      <c r="D93" s="32"/>
      <c r="E93" s="32"/>
      <c r="F93" s="32"/>
      <c r="G93" s="32"/>
      <c r="H93" s="32"/>
      <c r="I93" s="32"/>
      <c r="J93" s="32"/>
      <c r="K93" s="32"/>
      <c r="L93" s="32"/>
      <c r="M93" s="32"/>
      <c r="N93" s="32"/>
      <c r="O93" s="32"/>
      <c r="P93" s="32"/>
      <c r="Q93" s="32"/>
    </row>
    <row r="94" spans="1:17" ht="14.25" x14ac:dyDescent="0.2">
      <c r="A94" s="32"/>
      <c r="B94" s="32"/>
      <c r="C94" s="32"/>
      <c r="D94" s="32"/>
      <c r="E94" s="32"/>
      <c r="F94" s="32"/>
      <c r="G94" s="32"/>
      <c r="H94" s="32"/>
      <c r="I94" s="32"/>
      <c r="J94" s="32"/>
      <c r="K94" s="32"/>
      <c r="L94" s="32"/>
      <c r="M94" s="32"/>
      <c r="N94" s="32"/>
      <c r="O94" s="32"/>
      <c r="P94" s="32"/>
      <c r="Q94" s="32"/>
    </row>
    <row r="95" spans="1:17" ht="14.25" x14ac:dyDescent="0.2">
      <c r="A95" s="32"/>
      <c r="B95" s="32"/>
      <c r="C95" s="32"/>
      <c r="D95" s="32"/>
      <c r="E95" s="32"/>
      <c r="F95" s="32"/>
      <c r="G95" s="32"/>
      <c r="H95" s="32"/>
      <c r="I95" s="32"/>
      <c r="J95" s="32"/>
      <c r="K95" s="32"/>
      <c r="L95" s="32"/>
      <c r="M95" s="32"/>
      <c r="N95" s="32"/>
      <c r="O95" s="32"/>
      <c r="P95" s="32"/>
      <c r="Q95" s="32"/>
    </row>
    <row r="96" spans="1:17" ht="14.25" x14ac:dyDescent="0.2">
      <c r="A96" s="32"/>
      <c r="B96" s="32"/>
      <c r="C96" s="32"/>
      <c r="D96" s="32"/>
      <c r="E96" s="32"/>
      <c r="F96" s="32"/>
      <c r="G96" s="32"/>
      <c r="H96" s="32"/>
      <c r="I96" s="32"/>
      <c r="J96" s="32"/>
      <c r="K96" s="32"/>
      <c r="L96" s="32"/>
      <c r="M96" s="32"/>
      <c r="N96" s="32"/>
      <c r="O96" s="32"/>
      <c r="P96" s="32"/>
      <c r="Q96" s="32"/>
    </row>
    <row r="97" spans="1:17" ht="14.25" x14ac:dyDescent="0.2">
      <c r="A97" s="32"/>
      <c r="B97" s="32"/>
      <c r="C97" s="32"/>
      <c r="D97" s="32"/>
      <c r="E97" s="32"/>
      <c r="F97" s="32"/>
      <c r="G97" s="32"/>
      <c r="H97" s="32"/>
      <c r="I97" s="32"/>
      <c r="J97" s="32"/>
      <c r="K97" s="32"/>
      <c r="L97" s="32"/>
      <c r="M97" s="32"/>
      <c r="N97" s="32"/>
      <c r="O97" s="32"/>
      <c r="P97" s="32"/>
      <c r="Q97" s="32"/>
    </row>
    <row r="98" spans="1:17" ht="14.25" x14ac:dyDescent="0.2">
      <c r="A98" s="32"/>
      <c r="B98" s="32"/>
      <c r="C98" s="32"/>
      <c r="D98" s="32"/>
      <c r="E98" s="32"/>
      <c r="F98" s="32"/>
      <c r="G98" s="32"/>
      <c r="H98" s="32"/>
      <c r="I98" s="32"/>
      <c r="J98" s="32"/>
      <c r="K98" s="32"/>
      <c r="L98" s="32"/>
      <c r="M98" s="32"/>
      <c r="N98" s="32"/>
      <c r="O98" s="32"/>
      <c r="P98" s="32"/>
      <c r="Q98" s="32"/>
    </row>
    <row r="99" spans="1:17" ht="14.25" x14ac:dyDescent="0.2">
      <c r="A99" s="32"/>
      <c r="B99" s="32"/>
      <c r="C99" s="32"/>
      <c r="D99" s="32"/>
      <c r="E99" s="32"/>
      <c r="F99" s="32"/>
      <c r="G99" s="32"/>
      <c r="H99" s="32"/>
      <c r="I99" s="32"/>
      <c r="J99" s="32"/>
      <c r="K99" s="32"/>
      <c r="L99" s="32"/>
      <c r="M99" s="32"/>
      <c r="N99" s="32"/>
      <c r="O99" s="32"/>
      <c r="P99" s="32"/>
      <c r="Q99" s="32"/>
    </row>
    <row r="100" spans="1:17" ht="14.25" x14ac:dyDescent="0.2">
      <c r="A100" s="32"/>
      <c r="B100" s="32"/>
      <c r="C100" s="32"/>
      <c r="D100" s="32"/>
      <c r="E100" s="32"/>
      <c r="F100" s="32"/>
      <c r="G100" s="32"/>
      <c r="H100" s="32"/>
      <c r="I100" s="32"/>
      <c r="J100" s="32"/>
      <c r="K100" s="32"/>
      <c r="L100" s="32"/>
      <c r="M100" s="32"/>
      <c r="N100" s="32"/>
      <c r="O100" s="32"/>
      <c r="P100" s="32"/>
      <c r="Q100" s="32"/>
    </row>
    <row r="101" spans="1:17" ht="14.25" x14ac:dyDescent="0.2">
      <c r="A101" s="32"/>
      <c r="B101" s="32"/>
      <c r="C101" s="32"/>
      <c r="D101" s="32"/>
      <c r="E101" s="32"/>
      <c r="F101" s="32"/>
      <c r="G101" s="32"/>
      <c r="H101" s="32"/>
      <c r="I101" s="32"/>
      <c r="J101" s="32"/>
      <c r="K101" s="32"/>
      <c r="L101" s="32"/>
      <c r="M101" s="32"/>
      <c r="N101" s="32"/>
      <c r="O101" s="32"/>
      <c r="P101" s="32"/>
      <c r="Q101" s="32"/>
    </row>
    <row r="102" spans="1:17" ht="14.25" x14ac:dyDescent="0.2">
      <c r="A102" s="32"/>
      <c r="B102" s="32"/>
      <c r="C102" s="32"/>
      <c r="D102" s="32"/>
      <c r="E102" s="32"/>
      <c r="F102" s="32"/>
      <c r="G102" s="32"/>
      <c r="H102" s="32"/>
      <c r="I102" s="32"/>
      <c r="J102" s="32"/>
      <c r="K102" s="32"/>
      <c r="L102" s="32"/>
      <c r="M102" s="32"/>
      <c r="N102" s="32"/>
      <c r="O102" s="32"/>
      <c r="P102" s="32"/>
      <c r="Q102" s="32"/>
    </row>
    <row r="103" spans="1:17" ht="14.25" x14ac:dyDescent="0.2">
      <c r="A103" s="32"/>
      <c r="B103" s="32"/>
      <c r="C103" s="32"/>
      <c r="D103" s="32"/>
      <c r="E103" s="32"/>
      <c r="F103" s="32"/>
      <c r="G103" s="32"/>
      <c r="H103" s="32"/>
      <c r="I103" s="32"/>
      <c r="J103" s="32"/>
      <c r="K103" s="32"/>
      <c r="L103" s="32"/>
      <c r="M103" s="32"/>
      <c r="N103" s="32"/>
      <c r="O103" s="32"/>
      <c r="P103" s="32"/>
      <c r="Q103" s="32"/>
    </row>
    <row r="104" spans="1:17" ht="14.25" x14ac:dyDescent="0.2">
      <c r="A104" s="32"/>
      <c r="B104" s="32"/>
      <c r="C104" s="32"/>
      <c r="D104" s="32"/>
      <c r="E104" s="32"/>
      <c r="F104" s="32"/>
      <c r="G104" s="32"/>
      <c r="H104" s="32"/>
      <c r="I104" s="32"/>
      <c r="J104" s="32"/>
      <c r="K104" s="32"/>
      <c r="L104" s="32"/>
      <c r="M104" s="32"/>
      <c r="N104" s="32"/>
      <c r="O104" s="32"/>
      <c r="P104" s="32"/>
      <c r="Q104" s="32"/>
    </row>
    <row r="105" spans="1:17" ht="14.25" x14ac:dyDescent="0.2">
      <c r="A105" s="32"/>
      <c r="B105" s="32"/>
      <c r="C105" s="32"/>
      <c r="D105" s="32"/>
      <c r="E105" s="32"/>
      <c r="F105" s="32"/>
      <c r="G105" s="32"/>
      <c r="H105" s="32"/>
      <c r="K105" s="32"/>
      <c r="L105" s="32"/>
      <c r="M105" s="32"/>
      <c r="N105" s="32"/>
      <c r="O105" s="32"/>
      <c r="P105" s="32"/>
      <c r="Q105" s="32"/>
    </row>
    <row r="106" spans="1:17" ht="14.25" x14ac:dyDescent="0.2">
      <c r="A106" s="32"/>
      <c r="B106" s="32"/>
      <c r="C106" s="32"/>
      <c r="D106" s="32"/>
      <c r="E106" s="32"/>
      <c r="F106" s="32"/>
      <c r="G106" s="32"/>
      <c r="H106" s="32"/>
      <c r="K106" s="32"/>
      <c r="L106" s="32"/>
      <c r="M106" s="32"/>
      <c r="N106" s="32"/>
      <c r="O106" s="32"/>
      <c r="P106" s="32"/>
      <c r="Q106" s="32"/>
    </row>
    <row r="107" spans="1:17" ht="14.25" x14ac:dyDescent="0.2">
      <c r="A107" s="32"/>
      <c r="B107" s="32"/>
      <c r="C107" s="32"/>
      <c r="D107" s="32"/>
      <c r="E107" s="32"/>
      <c r="F107" s="32"/>
      <c r="G107" s="32"/>
      <c r="H107" s="32"/>
      <c r="K107" s="32"/>
      <c r="L107" s="32"/>
      <c r="M107" s="32"/>
      <c r="N107" s="32"/>
      <c r="O107" s="32"/>
      <c r="P107" s="32"/>
      <c r="Q107" s="32"/>
    </row>
    <row r="108" spans="1:17" ht="14.25" x14ac:dyDescent="0.2">
      <c r="A108" s="32"/>
      <c r="B108" s="32"/>
      <c r="C108" s="32"/>
      <c r="D108" s="32"/>
      <c r="E108" s="32"/>
      <c r="F108" s="32"/>
      <c r="G108" s="32"/>
      <c r="H108" s="32"/>
      <c r="K108" s="32"/>
      <c r="L108" s="32"/>
      <c r="M108" s="32"/>
      <c r="N108" s="32"/>
      <c r="O108" s="32"/>
      <c r="P108" s="32"/>
      <c r="Q108" s="32"/>
    </row>
    <row r="109" spans="1:17" ht="14.25" x14ac:dyDescent="0.2">
      <c r="A109" s="32"/>
      <c r="B109" s="32"/>
      <c r="C109" s="32"/>
      <c r="D109" s="32"/>
      <c r="E109" s="32"/>
      <c r="F109" s="32"/>
      <c r="G109" s="32"/>
      <c r="H109" s="32"/>
      <c r="K109" s="32"/>
      <c r="L109" s="32"/>
      <c r="M109" s="32"/>
      <c r="N109" s="32"/>
      <c r="O109" s="32"/>
      <c r="P109" s="32"/>
      <c r="Q109" s="32"/>
    </row>
    <row r="110" spans="1:17" ht="14.25" x14ac:dyDescent="0.2">
      <c r="A110" s="32"/>
      <c r="B110" s="32"/>
      <c r="C110" s="32"/>
      <c r="D110" s="32"/>
      <c r="E110" s="32"/>
      <c r="F110" s="32"/>
      <c r="G110" s="32"/>
      <c r="H110" s="32"/>
      <c r="K110" s="32"/>
      <c r="L110" s="32"/>
      <c r="M110" s="32"/>
      <c r="N110" s="32"/>
      <c r="O110" s="32"/>
      <c r="P110" s="32"/>
      <c r="Q110" s="32"/>
    </row>
    <row r="111" spans="1:17" ht="14.25" x14ac:dyDescent="0.2">
      <c r="A111" s="32"/>
      <c r="B111" s="32"/>
      <c r="C111" s="32"/>
      <c r="D111" s="32"/>
      <c r="E111" s="32"/>
      <c r="F111" s="32"/>
      <c r="G111" s="32"/>
      <c r="H111" s="32"/>
      <c r="K111" s="32"/>
      <c r="L111" s="32"/>
      <c r="M111" s="32"/>
      <c r="N111" s="32"/>
      <c r="O111" s="32"/>
      <c r="P111" s="32"/>
      <c r="Q111" s="32"/>
    </row>
    <row r="112" spans="1:17" ht="14.25" x14ac:dyDescent="0.2">
      <c r="A112" s="32"/>
      <c r="B112" s="32"/>
      <c r="C112" s="32"/>
      <c r="D112" s="32"/>
      <c r="E112" s="32"/>
      <c r="F112" s="32"/>
      <c r="G112" s="32"/>
      <c r="H112" s="32"/>
      <c r="K112" s="32"/>
      <c r="L112" s="32"/>
      <c r="M112" s="32"/>
      <c r="N112" s="32"/>
      <c r="O112" s="32"/>
      <c r="P112" s="32"/>
      <c r="Q112" s="32"/>
    </row>
    <row r="113" spans="1:17" ht="14.25" x14ac:dyDescent="0.2">
      <c r="A113" s="32"/>
      <c r="B113" s="32"/>
      <c r="C113" s="32"/>
      <c r="D113" s="32"/>
      <c r="E113" s="32"/>
      <c r="F113" s="32"/>
      <c r="G113" s="32"/>
      <c r="H113" s="32"/>
      <c r="K113" s="32"/>
      <c r="L113" s="32"/>
      <c r="M113" s="32"/>
      <c r="N113" s="32"/>
      <c r="O113" s="32"/>
      <c r="P113" s="32"/>
      <c r="Q113" s="32"/>
    </row>
    <row r="114" spans="1:17" ht="14.25" x14ac:dyDescent="0.2">
      <c r="A114" s="32"/>
      <c r="B114" s="32"/>
      <c r="C114" s="32"/>
      <c r="D114" s="32"/>
      <c r="E114" s="32"/>
      <c r="F114" s="32"/>
      <c r="G114" s="32"/>
      <c r="H114" s="32"/>
      <c r="K114" s="32"/>
      <c r="L114" s="32"/>
      <c r="M114" s="32"/>
      <c r="N114" s="32"/>
      <c r="O114" s="32"/>
      <c r="P114" s="32"/>
      <c r="Q114" s="32"/>
    </row>
    <row r="115" spans="1:17" ht="14.25" x14ac:dyDescent="0.2">
      <c r="A115" s="32"/>
      <c r="B115" s="32"/>
      <c r="C115" s="32"/>
      <c r="D115" s="32"/>
      <c r="E115" s="32"/>
      <c r="F115" s="32"/>
      <c r="G115" s="32"/>
      <c r="H115" s="32"/>
      <c r="K115" s="32"/>
      <c r="L115" s="32"/>
      <c r="M115" s="32"/>
      <c r="N115" s="32"/>
      <c r="O115" s="32"/>
      <c r="P115" s="32"/>
      <c r="Q115" s="32"/>
    </row>
    <row r="116" spans="1:17" ht="14.25" x14ac:dyDescent="0.2">
      <c r="A116" s="32"/>
      <c r="B116" s="32"/>
      <c r="C116" s="32"/>
      <c r="D116" s="32"/>
      <c r="E116" s="32"/>
      <c r="F116" s="32"/>
      <c r="G116" s="32"/>
      <c r="H116" s="32"/>
      <c r="K116" s="32"/>
      <c r="L116" s="32"/>
      <c r="M116" s="32"/>
      <c r="N116" s="32"/>
      <c r="O116" s="32"/>
      <c r="P116" s="32"/>
      <c r="Q116" s="32"/>
    </row>
    <row r="117" spans="1:17" ht="14.25" x14ac:dyDescent="0.2">
      <c r="A117" s="32"/>
      <c r="B117" s="32"/>
      <c r="C117" s="32"/>
      <c r="D117" s="32"/>
      <c r="E117" s="32"/>
      <c r="F117" s="32"/>
      <c r="G117" s="32"/>
      <c r="H117" s="32"/>
      <c r="K117" s="32"/>
      <c r="L117" s="32"/>
      <c r="M117" s="32"/>
      <c r="N117" s="32"/>
      <c r="O117" s="32"/>
      <c r="P117" s="32"/>
      <c r="Q117" s="32"/>
    </row>
    <row r="118" spans="1:17" ht="14.25" x14ac:dyDescent="0.2">
      <c r="A118" s="32"/>
      <c r="B118" s="32"/>
      <c r="C118" s="32"/>
      <c r="D118" s="32"/>
      <c r="E118" s="32"/>
      <c r="F118" s="32"/>
      <c r="G118" s="32"/>
    </row>
    <row r="119" spans="1:17" ht="14.25" x14ac:dyDescent="0.2">
      <c r="A119" s="32"/>
      <c r="B119" s="32"/>
      <c r="C119" s="32"/>
      <c r="D119" s="32"/>
      <c r="E119" s="32"/>
      <c r="F119" s="32"/>
      <c r="G119" s="32"/>
    </row>
    <row r="120" spans="1:17" ht="14.25" x14ac:dyDescent="0.2">
      <c r="A120" s="32"/>
      <c r="B120" s="32"/>
      <c r="C120" s="32"/>
      <c r="D120" s="32"/>
      <c r="E120" s="32"/>
      <c r="F120" s="32"/>
      <c r="G120" s="32"/>
    </row>
    <row r="121" spans="1:17" ht="14.25" x14ac:dyDescent="0.2">
      <c r="A121" s="32"/>
      <c r="B121" s="32"/>
      <c r="C121" s="32"/>
      <c r="D121" s="32"/>
      <c r="E121" s="32"/>
      <c r="F121" s="32"/>
      <c r="G121" s="32"/>
    </row>
    <row r="122" spans="1:17" ht="14.25" x14ac:dyDescent="0.2">
      <c r="A122" s="32"/>
      <c r="B122" s="32"/>
      <c r="C122" s="32"/>
      <c r="D122" s="32"/>
      <c r="E122" s="32"/>
      <c r="F122" s="32"/>
      <c r="G122" s="32"/>
    </row>
    <row r="123" spans="1:17" ht="14.25" x14ac:dyDescent="0.2">
      <c r="A123" s="32"/>
      <c r="B123" s="32"/>
      <c r="C123" s="32"/>
      <c r="D123" s="32"/>
      <c r="E123" s="32"/>
      <c r="F123" s="32"/>
      <c r="G123" s="32"/>
    </row>
    <row r="124" spans="1:17" ht="14.25" x14ac:dyDescent="0.2">
      <c r="A124" s="32"/>
      <c r="B124" s="32"/>
      <c r="C124" s="32"/>
      <c r="D124" s="32"/>
      <c r="E124" s="32"/>
      <c r="F124" s="32"/>
      <c r="G124" s="32"/>
    </row>
    <row r="125" spans="1:17" ht="14.25" x14ac:dyDescent="0.2">
      <c r="A125" s="32"/>
      <c r="B125" s="32"/>
      <c r="C125" s="32"/>
      <c r="D125" s="32"/>
      <c r="E125" s="32"/>
      <c r="F125" s="32"/>
      <c r="G125" s="32"/>
    </row>
    <row r="126" spans="1:17" ht="14.25" x14ac:dyDescent="0.2">
      <c r="A126" s="32"/>
      <c r="B126" s="32"/>
      <c r="C126" s="32"/>
      <c r="D126" s="32"/>
      <c r="E126" s="32"/>
      <c r="F126" s="32"/>
      <c r="G126" s="32"/>
    </row>
    <row r="127" spans="1:17" ht="14.25" x14ac:dyDescent="0.2">
      <c r="A127" s="32"/>
      <c r="B127" s="32"/>
      <c r="C127" s="32"/>
      <c r="D127" s="32"/>
      <c r="E127" s="32"/>
      <c r="F127" s="32"/>
      <c r="G127" s="32"/>
    </row>
    <row r="128" spans="1:17" ht="14.25" x14ac:dyDescent="0.2">
      <c r="A128" s="32"/>
      <c r="B128" s="32"/>
      <c r="C128" s="32"/>
      <c r="D128" s="32"/>
      <c r="E128" s="32"/>
      <c r="F128" s="32"/>
      <c r="G128" s="32"/>
    </row>
    <row r="129" spans="1:7" ht="14.25" x14ac:dyDescent="0.2">
      <c r="A129" s="32"/>
      <c r="B129" s="32"/>
      <c r="C129" s="32"/>
      <c r="D129" s="32"/>
      <c r="E129" s="32"/>
      <c r="F129" s="32"/>
      <c r="G129" s="32"/>
    </row>
    <row r="130" spans="1:7" ht="14.25" x14ac:dyDescent="0.2">
      <c r="A130" s="32"/>
      <c r="B130" s="32"/>
      <c r="C130" s="32"/>
      <c r="D130" s="32"/>
      <c r="E130" s="32"/>
      <c r="F130" s="32"/>
      <c r="G130" s="32"/>
    </row>
    <row r="131" spans="1:7" ht="14.25" x14ac:dyDescent="0.2">
      <c r="A131" s="32"/>
      <c r="B131" s="32"/>
      <c r="C131" s="32"/>
      <c r="D131" s="32"/>
      <c r="E131" s="32"/>
      <c r="F131" s="32"/>
      <c r="G131" s="32"/>
    </row>
    <row r="132" spans="1:7" ht="14.25" x14ac:dyDescent="0.2">
      <c r="A132" s="32"/>
      <c r="B132" s="32"/>
      <c r="C132" s="32"/>
      <c r="D132" s="32"/>
      <c r="E132" s="32"/>
      <c r="F132" s="32"/>
      <c r="G132" s="32"/>
    </row>
    <row r="133" spans="1:7" ht="14.25" x14ac:dyDescent="0.2">
      <c r="A133" s="32"/>
      <c r="B133" s="32"/>
      <c r="C133" s="32"/>
      <c r="D133" s="32"/>
      <c r="E133" s="32"/>
      <c r="F133" s="32"/>
      <c r="G133" s="32"/>
    </row>
    <row r="134" spans="1:7" ht="14.25" x14ac:dyDescent="0.2">
      <c r="A134" s="32"/>
      <c r="B134" s="32"/>
      <c r="C134" s="32"/>
      <c r="D134" s="32"/>
      <c r="E134" s="32"/>
      <c r="F134" s="32"/>
      <c r="G134" s="32"/>
    </row>
    <row r="135" spans="1:7" ht="14.25" x14ac:dyDescent="0.2">
      <c r="A135" s="32"/>
      <c r="B135" s="32"/>
      <c r="C135" s="32"/>
      <c r="D135" s="32"/>
      <c r="E135" s="32"/>
      <c r="F135" s="32"/>
      <c r="G135" s="32"/>
    </row>
    <row r="136" spans="1:7" ht="14.25" x14ac:dyDescent="0.2">
      <c r="A136" s="32"/>
      <c r="B136" s="32"/>
      <c r="C136" s="32"/>
      <c r="D136" s="32"/>
      <c r="E136" s="32"/>
      <c r="F136" s="32"/>
      <c r="G136" s="32"/>
    </row>
    <row r="137" spans="1:7" ht="14.25" x14ac:dyDescent="0.2">
      <c r="A137" s="32"/>
      <c r="B137" s="32"/>
      <c r="C137" s="32"/>
      <c r="D137" s="32"/>
      <c r="E137" s="32"/>
      <c r="F137" s="32"/>
      <c r="G137" s="32"/>
    </row>
    <row r="138" spans="1:7" ht="14.25" x14ac:dyDescent="0.2">
      <c r="A138" s="32"/>
      <c r="B138" s="32"/>
      <c r="C138" s="32"/>
      <c r="D138" s="32"/>
      <c r="E138" s="32"/>
      <c r="F138" s="32"/>
      <c r="G138" s="32"/>
    </row>
    <row r="139" spans="1:7" ht="14.25" x14ac:dyDescent="0.2">
      <c r="A139" s="32"/>
      <c r="B139" s="32"/>
      <c r="C139" s="32"/>
      <c r="D139" s="32"/>
      <c r="E139" s="32"/>
      <c r="F139" s="32"/>
      <c r="G139" s="32"/>
    </row>
    <row r="140" spans="1:7" ht="14.25" x14ac:dyDescent="0.2">
      <c r="A140" s="32"/>
      <c r="B140" s="32"/>
      <c r="C140" s="32"/>
      <c r="D140" s="32"/>
      <c r="E140" s="32"/>
      <c r="F140" s="32"/>
      <c r="G140" s="32"/>
    </row>
    <row r="141" spans="1:7" ht="14.25" x14ac:dyDescent="0.2">
      <c r="A141" s="32"/>
      <c r="B141" s="32"/>
      <c r="C141" s="32"/>
      <c r="D141" s="32"/>
      <c r="E141" s="32"/>
      <c r="F141" s="32"/>
      <c r="G141" s="32"/>
    </row>
    <row r="142" spans="1:7" ht="14.25" x14ac:dyDescent="0.2">
      <c r="A142" s="32"/>
      <c r="B142" s="32"/>
      <c r="C142" s="32"/>
      <c r="D142" s="32"/>
      <c r="E142" s="32"/>
      <c r="F142" s="32"/>
      <c r="G142" s="32"/>
    </row>
    <row r="143" spans="1:7" ht="14.25" x14ac:dyDescent="0.2">
      <c r="A143" s="32"/>
      <c r="B143" s="32"/>
      <c r="C143" s="32"/>
      <c r="D143" s="32"/>
      <c r="E143" s="32"/>
      <c r="F143" s="32"/>
      <c r="G143" s="32"/>
    </row>
    <row r="144" spans="1:7" ht="14.25" x14ac:dyDescent="0.2">
      <c r="A144" s="32"/>
      <c r="B144" s="32"/>
      <c r="C144" s="32"/>
      <c r="D144" s="32"/>
      <c r="E144" s="32"/>
      <c r="F144" s="32"/>
      <c r="G144" s="32"/>
    </row>
    <row r="145" spans="1:7" ht="14.25" x14ac:dyDescent="0.2">
      <c r="A145" s="32"/>
      <c r="B145" s="32"/>
      <c r="C145" s="32"/>
      <c r="D145" s="32"/>
      <c r="E145" s="32"/>
      <c r="F145" s="32"/>
      <c r="G145" s="32"/>
    </row>
    <row r="146" spans="1:7" ht="14.25" x14ac:dyDescent="0.2">
      <c r="A146" s="32"/>
      <c r="B146" s="32"/>
      <c r="C146" s="32"/>
      <c r="D146" s="32"/>
      <c r="E146" s="32"/>
      <c r="F146" s="32"/>
      <c r="G146" s="32"/>
    </row>
    <row r="147" spans="1:7" ht="14.25" x14ac:dyDescent="0.2">
      <c r="A147" s="32"/>
      <c r="B147" s="32"/>
      <c r="C147" s="32"/>
      <c r="D147" s="32"/>
      <c r="E147" s="32"/>
      <c r="F147" s="32"/>
      <c r="G147" s="32"/>
    </row>
    <row r="148" spans="1:7" ht="14.25" x14ac:dyDescent="0.2">
      <c r="A148" s="32"/>
      <c r="B148" s="32"/>
      <c r="C148" s="32"/>
      <c r="D148" s="32"/>
      <c r="E148" s="32"/>
      <c r="F148" s="32"/>
      <c r="G148" s="32"/>
    </row>
    <row r="149" spans="1:7" ht="14.25" x14ac:dyDescent="0.2">
      <c r="A149" s="32"/>
      <c r="B149" s="32"/>
      <c r="C149" s="32"/>
      <c r="D149" s="32"/>
      <c r="E149" s="32"/>
      <c r="F149" s="32"/>
      <c r="G149" s="32"/>
    </row>
    <row r="150" spans="1:7" ht="14.25" x14ac:dyDescent="0.2">
      <c r="A150" s="32"/>
      <c r="B150" s="32"/>
      <c r="C150" s="32"/>
      <c r="D150" s="32"/>
      <c r="E150" s="32"/>
      <c r="F150" s="32"/>
      <c r="G150" s="32"/>
    </row>
    <row r="151" spans="1:7" ht="14.25" x14ac:dyDescent="0.2">
      <c r="A151" s="32"/>
      <c r="B151" s="32"/>
      <c r="C151" s="32"/>
      <c r="D151" s="32"/>
      <c r="E151" s="32"/>
      <c r="F151" s="32"/>
      <c r="G151" s="32"/>
    </row>
    <row r="152" spans="1:7" ht="14.25" x14ac:dyDescent="0.2">
      <c r="A152" s="32"/>
      <c r="B152" s="32"/>
      <c r="C152" s="32"/>
      <c r="D152" s="32"/>
      <c r="E152" s="32"/>
      <c r="F152" s="32"/>
      <c r="G152" s="32"/>
    </row>
    <row r="153" spans="1:7" ht="14.25" x14ac:dyDescent="0.2">
      <c r="A153" s="32"/>
      <c r="B153" s="32"/>
      <c r="C153" s="32"/>
      <c r="D153" s="32"/>
      <c r="E153" s="32"/>
      <c r="F153" s="32"/>
      <c r="G153" s="32"/>
    </row>
    <row r="154" spans="1:7" ht="14.25" x14ac:dyDescent="0.2">
      <c r="A154" s="32"/>
      <c r="B154" s="32"/>
      <c r="C154" s="32"/>
      <c r="D154" s="32"/>
      <c r="E154" s="32"/>
      <c r="F154" s="32"/>
      <c r="G154" s="32"/>
    </row>
    <row r="155" spans="1:7" ht="14.25" x14ac:dyDescent="0.2">
      <c r="A155" s="32"/>
      <c r="B155" s="32"/>
      <c r="C155" s="32"/>
      <c r="D155" s="32"/>
      <c r="E155" s="32"/>
      <c r="F155" s="32"/>
      <c r="G155" s="32"/>
    </row>
    <row r="156" spans="1:7" ht="14.25" x14ac:dyDescent="0.2">
      <c r="A156" s="32"/>
      <c r="B156" s="32"/>
      <c r="C156" s="32"/>
      <c r="D156" s="32"/>
      <c r="E156" s="32"/>
      <c r="F156" s="32"/>
      <c r="G156" s="32"/>
    </row>
    <row r="157" spans="1:7" ht="14.25" x14ac:dyDescent="0.2">
      <c r="A157" s="32"/>
      <c r="B157" s="32"/>
      <c r="C157" s="32"/>
      <c r="D157" s="32"/>
      <c r="E157" s="32"/>
      <c r="F157" s="32"/>
      <c r="G157" s="32"/>
    </row>
    <row r="158" spans="1:7" ht="14.25" x14ac:dyDescent="0.2">
      <c r="B158" s="32"/>
      <c r="C158" s="32"/>
      <c r="D158" s="32"/>
      <c r="E158" s="32"/>
      <c r="F158" s="32"/>
      <c r="G158" s="32"/>
    </row>
    <row r="159" spans="1:7" ht="14.25" x14ac:dyDescent="0.2">
      <c r="B159" s="32"/>
      <c r="C159" s="32"/>
      <c r="D159" s="32"/>
      <c r="E159" s="32"/>
      <c r="F159" s="32"/>
      <c r="G159" s="32"/>
    </row>
    <row r="160" spans="1:7" ht="14.25" x14ac:dyDescent="0.2">
      <c r="B160" s="32"/>
      <c r="C160" s="32"/>
      <c r="D160" s="32"/>
      <c r="E160" s="32"/>
      <c r="F160" s="32"/>
      <c r="G160" s="32"/>
    </row>
    <row r="161" spans="2:7" ht="14.25" x14ac:dyDescent="0.2">
      <c r="B161" s="32"/>
      <c r="C161" s="32"/>
      <c r="D161" s="32"/>
      <c r="E161" s="32"/>
      <c r="F161" s="32"/>
      <c r="G161" s="32"/>
    </row>
    <row r="162" spans="2:7" ht="14.25" x14ac:dyDescent="0.2">
      <c r="B162" s="32"/>
      <c r="C162" s="32"/>
      <c r="D162" s="32"/>
      <c r="E162" s="32"/>
      <c r="F162" s="32"/>
      <c r="G162" s="32"/>
    </row>
    <row r="163" spans="2:7" ht="14.25" x14ac:dyDescent="0.2">
      <c r="B163" s="32"/>
      <c r="C163" s="32"/>
      <c r="D163" s="32"/>
      <c r="E163" s="32"/>
      <c r="F163" s="32"/>
      <c r="G163" s="32"/>
    </row>
    <row r="164" spans="2:7" ht="14.25" x14ac:dyDescent="0.2">
      <c r="B164" s="32"/>
      <c r="C164" s="32"/>
      <c r="D164" s="32"/>
      <c r="E164" s="32"/>
      <c r="F164" s="32"/>
      <c r="G164" s="32"/>
    </row>
    <row r="165" spans="2:7" ht="14.25" x14ac:dyDescent="0.2"/>
    <row r="166" spans="2:7" ht="14.1" customHeight="1" x14ac:dyDescent="0.2"/>
    <row r="167" spans="2:7" ht="14.1" customHeight="1" x14ac:dyDescent="0.2"/>
    <row r="168" spans="2:7" ht="14.1" customHeight="1" x14ac:dyDescent="0.2"/>
    <row r="169" spans="2:7" ht="14.1" customHeight="1" x14ac:dyDescent="0.2"/>
    <row r="170" spans="2:7" ht="14.1" customHeight="1" x14ac:dyDescent="0.2"/>
    <row r="171" spans="2:7" ht="14.1" customHeight="1" x14ac:dyDescent="0.2"/>
    <row r="172" spans="2:7" ht="14.1" customHeight="1" x14ac:dyDescent="0.2"/>
    <row r="173" spans="2:7" ht="14.1" customHeight="1" x14ac:dyDescent="0.2"/>
    <row r="174" spans="2:7" ht="14.1" customHeight="1" x14ac:dyDescent="0.2"/>
    <row r="175" spans="2:7" ht="14.1" customHeight="1" x14ac:dyDescent="0.2"/>
    <row r="176" spans="2:7" ht="14.1" customHeight="1" x14ac:dyDescent="0.2"/>
    <row r="177" ht="14.1" customHeight="1" x14ac:dyDescent="0.2"/>
    <row r="178" ht="14.1" customHeight="1" x14ac:dyDescent="0.2"/>
    <row r="179" ht="14.1" customHeight="1" x14ac:dyDescent="0.2"/>
    <row r="180" ht="14.1" customHeight="1" x14ac:dyDescent="0.2"/>
    <row r="181" ht="14.1" customHeight="1" x14ac:dyDescent="0.2"/>
    <row r="182" ht="14.1" customHeight="1" x14ac:dyDescent="0.2"/>
    <row r="183" ht="14.1" customHeight="1" x14ac:dyDescent="0.2"/>
    <row r="184" ht="14.1" customHeight="1" x14ac:dyDescent="0.2"/>
    <row r="185" ht="14.1" customHeight="1" x14ac:dyDescent="0.2"/>
    <row r="186" ht="14.1" customHeight="1" x14ac:dyDescent="0.2"/>
    <row r="187" ht="14.1" customHeight="1" x14ac:dyDescent="0.2"/>
    <row r="188" ht="14.1" customHeight="1" x14ac:dyDescent="0.2"/>
    <row r="189" ht="14.1" customHeight="1" x14ac:dyDescent="0.2"/>
    <row r="190" ht="14.1" customHeight="1" x14ac:dyDescent="0.2"/>
    <row r="191" ht="14.1" customHeight="1" x14ac:dyDescent="0.2"/>
    <row r="192" ht="14.1" customHeight="1" x14ac:dyDescent="0.2"/>
    <row r="193" ht="14.1" customHeight="1" x14ac:dyDescent="0.2"/>
    <row r="194" ht="14.1" customHeight="1" x14ac:dyDescent="0.2"/>
    <row r="195" ht="14.1" customHeight="1" x14ac:dyDescent="0.2"/>
    <row r="196" ht="14.1" customHeight="1" x14ac:dyDescent="0.2"/>
    <row r="197" ht="14.1" customHeight="1" x14ac:dyDescent="0.2"/>
    <row r="198" ht="14.1" customHeight="1" x14ac:dyDescent="0.2"/>
    <row r="199" ht="14.1" customHeight="1" x14ac:dyDescent="0.2"/>
    <row r="200" ht="14.1" customHeight="1" x14ac:dyDescent="0.2"/>
    <row r="201" ht="14.1" customHeight="1" x14ac:dyDescent="0.2"/>
    <row r="202" ht="14.1" customHeight="1" x14ac:dyDescent="0.2"/>
    <row r="203" ht="14.1" customHeight="1" x14ac:dyDescent="0.2"/>
    <row r="204" ht="14.1" customHeight="1" x14ac:dyDescent="0.2"/>
    <row r="205" ht="14.1" customHeight="1" x14ac:dyDescent="0.2"/>
    <row r="206" ht="14.1" customHeight="1" x14ac:dyDescent="0.2"/>
    <row r="207" ht="14.1" customHeight="1" x14ac:dyDescent="0.2"/>
    <row r="208" ht="14.1" customHeight="1" x14ac:dyDescent="0.2"/>
    <row r="209" ht="14.1" customHeight="1" x14ac:dyDescent="0.2"/>
    <row r="210" ht="14.1" customHeight="1" x14ac:dyDescent="0.2"/>
    <row r="211" ht="14.1" customHeight="1" x14ac:dyDescent="0.2"/>
    <row r="212" ht="14.1" customHeight="1" x14ac:dyDescent="0.2"/>
    <row r="213" ht="14.1" customHeight="1" x14ac:dyDescent="0.2"/>
    <row r="214" ht="14.1" customHeight="1" x14ac:dyDescent="0.2"/>
    <row r="215" ht="14.1" customHeight="1" x14ac:dyDescent="0.2"/>
    <row r="216" ht="14.1" customHeight="1" x14ac:dyDescent="0.2"/>
    <row r="217" ht="14.1" customHeight="1" x14ac:dyDescent="0.2"/>
    <row r="218" ht="14.1" customHeight="1" x14ac:dyDescent="0.2"/>
    <row r="219" ht="14.1" customHeight="1" x14ac:dyDescent="0.2"/>
    <row r="220" ht="14.1" customHeight="1" x14ac:dyDescent="0.2"/>
    <row r="221" ht="14.1" customHeight="1" x14ac:dyDescent="0.2"/>
    <row r="222" ht="14.1" customHeight="1" x14ac:dyDescent="0.2"/>
    <row r="223" ht="14.1" customHeight="1" x14ac:dyDescent="0.2"/>
    <row r="224" ht="14.1" customHeight="1" x14ac:dyDescent="0.2"/>
    <row r="225" ht="14.1" customHeight="1" x14ac:dyDescent="0.2"/>
    <row r="226" ht="14.1" customHeight="1" x14ac:dyDescent="0.2"/>
    <row r="227" ht="14.1" customHeight="1" x14ac:dyDescent="0.2"/>
    <row r="228" ht="14.1" customHeight="1" x14ac:dyDescent="0.2"/>
    <row r="229" ht="14.1" customHeight="1" x14ac:dyDescent="0.2"/>
    <row r="230" ht="14.1" customHeight="1" x14ac:dyDescent="0.2"/>
    <row r="231" ht="14.1" customHeight="1" x14ac:dyDescent="0.2"/>
    <row r="232" ht="14.1" customHeight="1" x14ac:dyDescent="0.2"/>
    <row r="233" ht="14.1" customHeight="1" x14ac:dyDescent="0.2"/>
    <row r="234" ht="14.1" customHeight="1" x14ac:dyDescent="0.2"/>
    <row r="235" ht="14.1" customHeight="1" x14ac:dyDescent="0.2"/>
    <row r="236" ht="14.1" customHeight="1" x14ac:dyDescent="0.2"/>
    <row r="237" ht="14.1" customHeight="1" x14ac:dyDescent="0.2"/>
    <row r="238" ht="14.1" customHeight="1" x14ac:dyDescent="0.2"/>
    <row r="239" ht="14.1" customHeight="1" x14ac:dyDescent="0.2"/>
    <row r="240" ht="14.1" customHeight="1" x14ac:dyDescent="0.2"/>
    <row r="241" ht="14.1" customHeight="1" x14ac:dyDescent="0.2"/>
    <row r="242" ht="14.1" customHeight="1" x14ac:dyDescent="0.2"/>
    <row r="243" ht="14.1" customHeight="1" x14ac:dyDescent="0.2"/>
    <row r="244" ht="14.1" customHeight="1" x14ac:dyDescent="0.2"/>
    <row r="245" ht="14.1" customHeight="1" x14ac:dyDescent="0.2"/>
    <row r="246" ht="14.1" customHeight="1" x14ac:dyDescent="0.2"/>
    <row r="247" ht="14.1" customHeight="1" x14ac:dyDescent="0.2"/>
    <row r="248" ht="14.1" customHeight="1" x14ac:dyDescent="0.2"/>
    <row r="249" ht="14.1" customHeight="1" x14ac:dyDescent="0.2"/>
    <row r="250" ht="14.1" customHeight="1" x14ac:dyDescent="0.2"/>
    <row r="251" ht="14.1" customHeight="1" x14ac:dyDescent="0.2"/>
    <row r="252" ht="14.1" customHeight="1" x14ac:dyDescent="0.2"/>
    <row r="253" ht="14.1" customHeight="1" x14ac:dyDescent="0.2"/>
    <row r="254" ht="14.1" customHeight="1" x14ac:dyDescent="0.2"/>
    <row r="255" ht="14.1" customHeight="1" x14ac:dyDescent="0.2"/>
    <row r="256" ht="14.1" customHeight="1" x14ac:dyDescent="0.2"/>
    <row r="257" ht="14.1" customHeight="1" x14ac:dyDescent="0.2"/>
    <row r="258" ht="14.1" customHeight="1" x14ac:dyDescent="0.2"/>
    <row r="259" ht="14.1" customHeight="1" x14ac:dyDescent="0.2"/>
    <row r="260" ht="14.1" customHeight="1" x14ac:dyDescent="0.2"/>
    <row r="261" ht="14.1" customHeight="1" x14ac:dyDescent="0.2"/>
    <row r="262" ht="14.1" customHeight="1" x14ac:dyDescent="0.2"/>
    <row r="263" ht="14.1" customHeight="1" x14ac:dyDescent="0.2"/>
    <row r="264" ht="14.1" customHeight="1" x14ac:dyDescent="0.2"/>
    <row r="265" ht="14.1" customHeight="1" x14ac:dyDescent="0.2"/>
    <row r="266" ht="14.1" customHeight="1" x14ac:dyDescent="0.2"/>
    <row r="267" ht="14.1" customHeight="1" x14ac:dyDescent="0.2"/>
    <row r="268" ht="14.1" customHeight="1" x14ac:dyDescent="0.2"/>
    <row r="269" ht="14.1" customHeight="1" x14ac:dyDescent="0.2"/>
    <row r="270" ht="14.1" customHeight="1" x14ac:dyDescent="0.2"/>
    <row r="271" ht="14.1" customHeight="1" x14ac:dyDescent="0.2"/>
    <row r="272" ht="14.1" customHeight="1" x14ac:dyDescent="0.2"/>
    <row r="273" ht="14.1" customHeight="1" x14ac:dyDescent="0.2"/>
    <row r="274" ht="14.1" customHeight="1" x14ac:dyDescent="0.2"/>
    <row r="275" ht="14.1" customHeight="1" x14ac:dyDescent="0.2"/>
    <row r="276" ht="14.1" customHeight="1" x14ac:dyDescent="0.2"/>
    <row r="277" ht="14.1" customHeight="1" x14ac:dyDescent="0.2"/>
    <row r="278" ht="14.1" customHeight="1" x14ac:dyDescent="0.2"/>
    <row r="279" ht="14.1" customHeight="1" x14ac:dyDescent="0.2"/>
    <row r="280" ht="14.1" customHeight="1" x14ac:dyDescent="0.2"/>
    <row r="281" ht="14.1" customHeight="1" x14ac:dyDescent="0.2"/>
    <row r="282" ht="14.1" customHeight="1" x14ac:dyDescent="0.2"/>
    <row r="283" ht="14.1" customHeight="1" x14ac:dyDescent="0.2"/>
    <row r="284" ht="14.1" customHeight="1" x14ac:dyDescent="0.2"/>
    <row r="285" ht="14.1" customHeight="1" x14ac:dyDescent="0.2"/>
    <row r="286" ht="14.1" customHeight="1" x14ac:dyDescent="0.2"/>
    <row r="287" ht="14.1" customHeight="1" x14ac:dyDescent="0.2"/>
    <row r="288" ht="14.1" customHeight="1" x14ac:dyDescent="0.2"/>
    <row r="289" ht="14.1" customHeight="1" x14ac:dyDescent="0.2"/>
    <row r="290" ht="14.1" customHeight="1" x14ac:dyDescent="0.2"/>
    <row r="291" ht="14.1" customHeight="1" x14ac:dyDescent="0.2"/>
    <row r="292" ht="14.1" customHeight="1" x14ac:dyDescent="0.2"/>
    <row r="293" ht="14.1" customHeight="1" x14ac:dyDescent="0.2"/>
    <row r="294" ht="14.1" customHeight="1" x14ac:dyDescent="0.2"/>
    <row r="295" ht="14.1" customHeight="1" x14ac:dyDescent="0.2"/>
    <row r="296" ht="14.1" customHeight="1" x14ac:dyDescent="0.2"/>
    <row r="297" ht="14.1" customHeight="1" x14ac:dyDescent="0.2"/>
    <row r="298" ht="14.1" customHeight="1" x14ac:dyDescent="0.2"/>
    <row r="299" ht="14.1" customHeight="1" x14ac:dyDescent="0.2"/>
    <row r="300" ht="14.1" customHeight="1" x14ac:dyDescent="0.2"/>
    <row r="301" ht="14.1" customHeight="1" x14ac:dyDescent="0.2"/>
    <row r="302" ht="14.1" customHeight="1" x14ac:dyDescent="0.2"/>
    <row r="303" ht="14.1" customHeight="1" x14ac:dyDescent="0.2"/>
    <row r="304" ht="14.1" customHeight="1" x14ac:dyDescent="0.2"/>
    <row r="305" ht="14.1" customHeight="1" x14ac:dyDescent="0.2"/>
    <row r="306" ht="14.1" customHeight="1" x14ac:dyDescent="0.2"/>
    <row r="307" ht="14.1" customHeight="1" x14ac:dyDescent="0.2"/>
    <row r="308" ht="14.1" customHeight="1" x14ac:dyDescent="0.2"/>
  </sheetData>
  <sheetProtection algorithmName="SHA-512" hashValue="mFpOfHvmKokCki9n1FH4o0+jq8neYzcbnymrWqwl/8AsrqF2WqUxMwhnLXmT3I/Fh/c5OqEy6XwgxfwHBDm4fw==" saltValue="iGKLODs5Ca07wwpAqzQ5RA=="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B14 B22:E25 B44:E47">
    <cfRule type="expression" dxfId="569" priority="365">
      <formula>$E14&lt;0</formula>
    </cfRule>
  </conditionalFormatting>
  <conditionalFormatting sqref="B14:E14 B22:E25 B44:E47">
    <cfRule type="expression" dxfId="568" priority="364">
      <formula>$E14&gt;0</formula>
    </cfRule>
  </conditionalFormatting>
  <conditionalFormatting sqref="B32:E37">
    <cfRule type="expression" dxfId="567" priority="4">
      <formula>$E32&gt;0</formula>
    </cfRule>
    <cfRule type="expression" dxfId="566" priority="5">
      <formula>$E32&lt;0</formula>
    </cfRule>
  </conditionalFormatting>
  <conditionalFormatting sqref="C14:E14">
    <cfRule type="expression" dxfId="565" priority="367">
      <formula>$E14&lt;0</formula>
    </cfRule>
  </conditionalFormatting>
  <conditionalFormatting sqref="G5:G8">
    <cfRule type="containsText" dxfId="564" priority="43" operator="containsText" text="Yes">
      <formula>NOT(ISERROR(SEARCH("Yes",G5)))</formula>
    </cfRule>
    <cfRule type="containsText" dxfId="563" priority="44" operator="containsText" text="No">
      <formula>NOT(ISERROR(SEARCH("No",G5)))</formula>
    </cfRule>
  </conditionalFormatting>
  <conditionalFormatting sqref="G25 G36:G37">
    <cfRule type="expression" dxfId="562" priority="32">
      <formula>$G25&gt;0</formula>
    </cfRule>
    <cfRule type="expression" dxfId="561" priority="33">
      <formula>$G25&lt;0</formula>
    </cfRule>
  </conditionalFormatting>
  <conditionalFormatting sqref="H13">
    <cfRule type="cellIs" dxfId="560" priority="41" operator="lessThan">
      <formula>0</formula>
    </cfRule>
  </conditionalFormatting>
  <conditionalFormatting sqref="H13:H14">
    <cfRule type="cellIs" dxfId="559" priority="40" operator="greaterThan">
      <formula>0</formula>
    </cfRule>
  </conditionalFormatting>
  <conditionalFormatting sqref="H14">
    <cfRule type="cellIs" dxfId="558" priority="39" operator="lessThan">
      <formula>0</formula>
    </cfRule>
  </conditionalFormatting>
  <conditionalFormatting sqref="H21:H22">
    <cfRule type="cellIs" dxfId="557" priority="12" operator="greaterThan">
      <formula>0</formula>
    </cfRule>
    <cfRule type="cellIs" dxfId="556" priority="14" operator="lessThan">
      <formula>0</formula>
    </cfRule>
  </conditionalFormatting>
  <conditionalFormatting sqref="H31:H33">
    <cfRule type="cellIs" dxfId="555" priority="1" operator="lessThan">
      <formula>0</formula>
    </cfRule>
    <cfRule type="cellIs" dxfId="554" priority="2" operator="greaterThan">
      <formula>0</formula>
    </cfRule>
  </conditionalFormatting>
  <conditionalFormatting sqref="H35 H43:H44">
    <cfRule type="cellIs" dxfId="553" priority="37" operator="lessThan">
      <formula>0</formula>
    </cfRule>
    <cfRule type="cellIs" dxfId="552" priority="38"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x14ac:dyDescent="0.2"/>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1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322" t="s">
        <v>207</v>
      </c>
      <c r="C2" s="1323"/>
      <c r="D2" s="1323"/>
      <c r="E2" s="1323"/>
      <c r="F2" s="1323"/>
      <c r="G2" s="1323"/>
      <c r="H2" s="1324"/>
      <c r="I2" s="32"/>
      <c r="J2" s="32"/>
      <c r="K2" s="32"/>
      <c r="L2" s="32"/>
      <c r="M2" s="32"/>
      <c r="N2" s="32"/>
      <c r="O2" s="32"/>
      <c r="P2" s="32"/>
      <c r="Q2" s="32"/>
    </row>
    <row r="3" spans="1:17" ht="15" customHeight="1" x14ac:dyDescent="0.2">
      <c r="A3" s="32"/>
      <c r="B3" s="1312" t="s">
        <v>208</v>
      </c>
      <c r="C3" s="1314" t="s">
        <v>209</v>
      </c>
      <c r="D3" s="1314"/>
      <c r="E3" s="1314"/>
      <c r="F3" s="1314"/>
      <c r="G3" s="1314" t="s">
        <v>210</v>
      </c>
      <c r="H3" s="1310"/>
      <c r="I3" s="219"/>
      <c r="J3" s="219"/>
      <c r="K3" s="219"/>
      <c r="L3" s="32"/>
      <c r="M3" s="32"/>
      <c r="N3" s="32"/>
      <c r="O3" s="32"/>
      <c r="P3" s="32"/>
      <c r="Q3" s="32"/>
    </row>
    <row r="4" spans="1:17" ht="14.25" customHeight="1" x14ac:dyDescent="0.2">
      <c r="A4" s="32"/>
      <c r="B4" s="1313"/>
      <c r="C4" s="1315"/>
      <c r="D4" s="1315"/>
      <c r="E4" s="1315"/>
      <c r="F4" s="1315"/>
      <c r="G4" s="1315"/>
      <c r="H4" s="1311"/>
      <c r="I4" s="219"/>
      <c r="J4" s="219"/>
      <c r="K4" s="219"/>
      <c r="L4" s="32"/>
      <c r="M4" s="32"/>
      <c r="N4" s="32"/>
      <c r="O4" s="32"/>
      <c r="P4" s="32"/>
      <c r="Q4" s="32"/>
    </row>
    <row r="5" spans="1:17" ht="20.25" x14ac:dyDescent="0.2">
      <c r="A5" s="32"/>
      <c r="B5" s="99" t="s">
        <v>211</v>
      </c>
      <c r="C5" s="1343" t="s">
        <v>212</v>
      </c>
      <c r="D5" s="1343"/>
      <c r="E5" s="1343"/>
      <c r="F5" s="1343"/>
      <c r="G5" s="1341" t="str">
        <f>IFERROR(IF(E14&lt;0,"No ▲","Yes ✓"),"")</f>
        <v>Yes ✓</v>
      </c>
      <c r="H5" s="1342"/>
      <c r="I5" s="219"/>
      <c r="J5" s="219"/>
      <c r="K5" s="219"/>
      <c r="L5" s="32"/>
      <c r="M5" s="32"/>
      <c r="N5" s="32"/>
      <c r="O5" s="32"/>
      <c r="P5" s="32"/>
      <c r="Q5" s="32"/>
    </row>
    <row r="6" spans="1:17" ht="22.5" customHeight="1" x14ac:dyDescent="0.2">
      <c r="A6" s="32"/>
      <c r="B6" s="99" t="s">
        <v>213</v>
      </c>
      <c r="C6" s="1344" t="s">
        <v>240</v>
      </c>
      <c r="D6" s="1344"/>
      <c r="E6" s="1344"/>
      <c r="F6" s="1344"/>
      <c r="G6" s="1341" t="str">
        <f>IF(H22&lt;0, "No ▲","Yes ✓")</f>
        <v>Yes ✓</v>
      </c>
      <c r="H6" s="1342"/>
      <c r="I6" s="32"/>
      <c r="J6" s="32"/>
      <c r="K6" s="32"/>
      <c r="L6" s="32"/>
      <c r="M6" s="32"/>
      <c r="N6" s="32"/>
      <c r="O6" s="32"/>
      <c r="P6" s="32"/>
      <c r="Q6" s="32"/>
    </row>
    <row r="7" spans="1:17" ht="19.5" customHeight="1" x14ac:dyDescent="0.2">
      <c r="A7" s="32"/>
      <c r="B7" s="99" t="s">
        <v>70</v>
      </c>
      <c r="C7" s="1344" t="s">
        <v>240</v>
      </c>
      <c r="D7" s="1344"/>
      <c r="E7" s="1344"/>
      <c r="F7" s="1344"/>
      <c r="G7" s="1328" t="str">
        <f>IF(H30&lt;0, "No ▲","Yes ✓")</f>
        <v>Yes ✓</v>
      </c>
      <c r="H7" s="1329"/>
      <c r="I7" s="32"/>
      <c r="J7" s="32"/>
      <c r="K7" s="32"/>
      <c r="L7" s="32"/>
      <c r="M7" s="32"/>
      <c r="N7" s="32"/>
      <c r="O7" s="32"/>
      <c r="P7" s="32"/>
      <c r="Q7" s="32"/>
    </row>
    <row r="8" spans="1:17" ht="18.75" customHeight="1" thickBot="1" x14ac:dyDescent="0.25">
      <c r="A8" s="32"/>
      <c r="B8" s="74" t="s">
        <v>216</v>
      </c>
      <c r="C8" s="1345" t="s">
        <v>248</v>
      </c>
      <c r="D8" s="1345"/>
      <c r="E8" s="1345"/>
      <c r="F8" s="1345"/>
      <c r="G8" s="1330" t="str">
        <f>IF(H42&lt;0,"No ▲","Yes ✓")</f>
        <v>Yes ✓</v>
      </c>
      <c r="H8" s="1331"/>
      <c r="I8" s="32"/>
      <c r="J8" s="32"/>
      <c r="K8" s="32"/>
      <c r="L8" s="32"/>
      <c r="M8" s="32"/>
      <c r="N8" s="32"/>
      <c r="O8" s="32"/>
      <c r="P8" s="32"/>
      <c r="Q8" s="32"/>
    </row>
    <row r="9" spans="1:17" ht="14.25" customHeight="1" x14ac:dyDescent="0.2">
      <c r="A9" s="32"/>
      <c r="B9" s="32"/>
      <c r="C9" s="32"/>
      <c r="D9" s="32"/>
      <c r="E9" s="32"/>
      <c r="F9" s="32"/>
      <c r="G9" s="32"/>
      <c r="H9" s="32"/>
      <c r="I9" s="32"/>
      <c r="J9" s="32"/>
      <c r="K9" s="32"/>
      <c r="L9" s="32"/>
      <c r="M9" s="32"/>
      <c r="N9" s="32"/>
      <c r="O9" s="32"/>
      <c r="P9" s="32"/>
      <c r="Q9" s="32"/>
    </row>
    <row r="10" spans="1:17" ht="15" thickBot="1" x14ac:dyDescent="0.25">
      <c r="A10" s="32"/>
      <c r="B10" s="32"/>
      <c r="C10" s="32"/>
      <c r="D10" s="32"/>
      <c r="E10" s="32"/>
      <c r="F10" s="32"/>
      <c r="G10" s="32"/>
      <c r="H10" s="32"/>
      <c r="I10" s="32"/>
      <c r="J10" s="32"/>
      <c r="K10" s="32"/>
      <c r="L10" s="32"/>
      <c r="M10" s="32"/>
      <c r="N10" s="32"/>
      <c r="O10" s="32"/>
      <c r="P10" s="32"/>
      <c r="Q10" s="32"/>
    </row>
    <row r="11" spans="1:17" ht="48.6" customHeight="1" thickBot="1" x14ac:dyDescent="0.25">
      <c r="A11" s="32"/>
      <c r="B11" s="1322" t="s">
        <v>218</v>
      </c>
      <c r="C11" s="1323"/>
      <c r="D11" s="1323"/>
      <c r="E11" s="1324"/>
      <c r="F11" s="606"/>
      <c r="G11" s="1346" t="s">
        <v>219</v>
      </c>
      <c r="H11" s="1347"/>
      <c r="K11" s="32"/>
      <c r="L11" s="32"/>
      <c r="M11" s="32"/>
      <c r="N11" s="32"/>
      <c r="O11" s="32"/>
      <c r="P11" s="32"/>
      <c r="Q11" s="32"/>
    </row>
    <row r="12" spans="1:17" s="33" customFormat="1" ht="63.75" thickBot="1" x14ac:dyDescent="0.25">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x14ac:dyDescent="0.25">
      <c r="A13" s="32"/>
      <c r="B13" s="273" t="str">
        <f>'G-2 Habitat groups'!A172</f>
        <v>Priority habitat</v>
      </c>
      <c r="C13" s="355">
        <f>'G-2 Habitat groups'!R172</f>
        <v>0</v>
      </c>
      <c r="D13" s="355">
        <f>'G-2 Habitat groups'!AD172</f>
        <v>0</v>
      </c>
      <c r="E13" s="599">
        <f>'G-2 Habitat groups'!AF172</f>
        <v>0</v>
      </c>
      <c r="F13" s="604"/>
      <c r="H13" s="32"/>
      <c r="I13" s="1348"/>
      <c r="J13" s="1348"/>
      <c r="K13" s="32"/>
      <c r="L13" s="32"/>
      <c r="M13" s="32"/>
      <c r="N13" s="32"/>
      <c r="O13" s="32"/>
      <c r="P13" s="32"/>
      <c r="Q13" s="32"/>
    </row>
    <row r="14" spans="1:17" ht="15" thickBot="1" x14ac:dyDescent="0.25">
      <c r="A14" s="32"/>
      <c r="B14" s="32"/>
      <c r="C14" s="609">
        <f>SUM(C13:C13)</f>
        <v>0</v>
      </c>
      <c r="D14" s="610">
        <f>SUM(D13:D13)</f>
        <v>0</v>
      </c>
      <c r="E14" s="344">
        <f>SUM(E13:E13)</f>
        <v>0</v>
      </c>
      <c r="F14" s="563"/>
      <c r="H14" s="32"/>
      <c r="I14" s="32"/>
      <c r="J14" s="32"/>
      <c r="K14" s="32"/>
      <c r="L14" s="32"/>
      <c r="M14" s="32"/>
      <c r="N14" s="32"/>
      <c r="O14" s="32"/>
      <c r="P14" s="32"/>
      <c r="Q14" s="32"/>
    </row>
    <row r="15" spans="1:17" ht="14.25" x14ac:dyDescent="0.2">
      <c r="A15" s="32"/>
      <c r="B15" s="32"/>
      <c r="C15" s="32"/>
      <c r="D15" s="32"/>
      <c r="E15" s="32"/>
      <c r="F15" s="32"/>
      <c r="G15" s="32"/>
      <c r="H15" s="32"/>
      <c r="I15" s="32"/>
      <c r="J15" s="32"/>
      <c r="K15" s="32"/>
      <c r="L15" s="32"/>
      <c r="M15" s="32"/>
      <c r="N15" s="32"/>
      <c r="O15" s="32"/>
      <c r="P15" s="32"/>
      <c r="Q15" s="32"/>
    </row>
    <row r="16" spans="1:17" ht="14.25" x14ac:dyDescent="0.2">
      <c r="A16" s="32"/>
      <c r="B16" s="32"/>
      <c r="C16" s="32"/>
      <c r="D16" s="32"/>
      <c r="E16" s="32"/>
      <c r="F16" s="32"/>
      <c r="G16" s="32"/>
      <c r="H16" s="32"/>
      <c r="I16" s="32"/>
      <c r="J16" s="32"/>
      <c r="K16" s="32"/>
      <c r="L16" s="32"/>
      <c r="M16" s="32"/>
      <c r="N16" s="32"/>
      <c r="O16" s="32"/>
      <c r="P16" s="32"/>
      <c r="Q16" s="32"/>
    </row>
    <row r="17" spans="1:17" ht="14.25" x14ac:dyDescent="0.2">
      <c r="A17" s="32"/>
      <c r="B17" s="32"/>
      <c r="C17" s="32"/>
      <c r="D17" s="32"/>
      <c r="E17" s="32"/>
      <c r="F17" s="32"/>
      <c r="G17" s="32"/>
      <c r="H17" s="32"/>
      <c r="I17" s="32"/>
      <c r="J17" s="32"/>
      <c r="K17" s="32"/>
      <c r="L17" s="32"/>
      <c r="M17" s="32"/>
      <c r="N17" s="32"/>
      <c r="O17" s="32"/>
      <c r="P17" s="32"/>
      <c r="Q17" s="32"/>
    </row>
    <row r="18" spans="1:17" ht="14.25" x14ac:dyDescent="0.2">
      <c r="A18" s="32"/>
      <c r="B18" s="32"/>
      <c r="C18" s="32"/>
      <c r="D18" s="32"/>
      <c r="E18" s="32"/>
      <c r="F18" s="32"/>
      <c r="G18" s="32"/>
      <c r="H18" s="32"/>
      <c r="I18" s="32"/>
      <c r="J18" s="32"/>
      <c r="K18" s="32"/>
      <c r="L18" s="32"/>
      <c r="M18" s="32"/>
      <c r="N18" s="32"/>
      <c r="O18" s="32"/>
      <c r="P18" s="32"/>
      <c r="Q18" s="32"/>
    </row>
    <row r="19" spans="1:17" ht="15" thickBot="1" x14ac:dyDescent="0.25">
      <c r="A19" s="32"/>
      <c r="B19" s="32"/>
      <c r="C19" s="32"/>
      <c r="D19" s="32"/>
      <c r="E19" s="32"/>
      <c r="F19" s="32"/>
      <c r="G19" s="32"/>
      <c r="H19" s="32"/>
      <c r="I19" s="32"/>
      <c r="J19" s="32"/>
      <c r="K19" s="32"/>
      <c r="L19" s="32"/>
      <c r="M19" s="32"/>
      <c r="N19" s="32"/>
      <c r="O19" s="32"/>
      <c r="P19" s="32"/>
      <c r="Q19" s="32"/>
    </row>
    <row r="20" spans="1:17" ht="45.6" customHeight="1" thickBot="1" x14ac:dyDescent="0.25">
      <c r="A20" s="32"/>
      <c r="B20" s="1322" t="s">
        <v>225</v>
      </c>
      <c r="C20" s="1323"/>
      <c r="D20" s="1323"/>
      <c r="E20" s="1324"/>
      <c r="F20" s="606"/>
      <c r="G20" s="1301" t="s">
        <v>226</v>
      </c>
      <c r="H20" s="1302"/>
      <c r="K20" s="32"/>
      <c r="L20" s="32"/>
      <c r="M20" s="32"/>
    </row>
    <row r="21" spans="1:17" ht="63" x14ac:dyDescent="0.2">
      <c r="A21" s="32"/>
      <c r="B21" s="70" t="s">
        <v>114</v>
      </c>
      <c r="C21" s="71" t="s">
        <v>221</v>
      </c>
      <c r="D21" s="71" t="s">
        <v>147</v>
      </c>
      <c r="E21" s="72" t="s">
        <v>222</v>
      </c>
      <c r="G21" s="73" t="s">
        <v>228</v>
      </c>
      <c r="H21" s="350">
        <f>IF(E23&gt;0, E23, 0)</f>
        <v>17.193322958066062</v>
      </c>
      <c r="K21" s="32"/>
      <c r="L21" s="32"/>
      <c r="M21" s="32"/>
      <c r="N21" s="32"/>
      <c r="O21" s="32"/>
    </row>
    <row r="22" spans="1:17" ht="29.25" thickBot="1" x14ac:dyDescent="0.25">
      <c r="A22" s="32"/>
      <c r="B22" s="273" t="str">
        <f>'G-2 Habitat groups'!A173</f>
        <v>Other rivers and streams</v>
      </c>
      <c r="C22" s="355">
        <f>'G-2 Habitat groups'!R173</f>
        <v>17.193322958066062</v>
      </c>
      <c r="D22" s="355">
        <f>'G-2 Habitat groups'!AD173</f>
        <v>0</v>
      </c>
      <c r="E22" s="599">
        <f>'G-2 Habitat groups'!AF173</f>
        <v>17.193322958066062</v>
      </c>
      <c r="G22" s="74" t="s">
        <v>229</v>
      </c>
      <c r="H22" s="351">
        <f>IF(E23&lt;0, E23, 0)</f>
        <v>0</v>
      </c>
      <c r="K22" s="32"/>
      <c r="L22" s="32"/>
      <c r="M22" s="32"/>
      <c r="N22" s="32"/>
      <c r="O22" s="32"/>
    </row>
    <row r="23" spans="1:17" ht="15" thickBot="1" x14ac:dyDescent="0.25">
      <c r="A23" s="32"/>
      <c r="C23" s="609">
        <f>SUM(C22:C22)</f>
        <v>17.193322958066062</v>
      </c>
      <c r="D23" s="610">
        <f>SUM(D22:D22)</f>
        <v>0</v>
      </c>
      <c r="E23" s="344">
        <f>SUM(E22:E22)</f>
        <v>17.193322958066062</v>
      </c>
      <c r="G23" s="563"/>
      <c r="H23" s="32"/>
      <c r="I23" s="32"/>
      <c r="J23" s="32"/>
      <c r="K23" s="32"/>
      <c r="L23" s="32"/>
      <c r="M23" s="32"/>
      <c r="N23" s="32"/>
      <c r="O23" s="32"/>
      <c r="P23" s="32"/>
      <c r="Q23" s="32"/>
    </row>
    <row r="24" spans="1:17" ht="14.25" x14ac:dyDescent="0.2">
      <c r="A24" s="32"/>
      <c r="B24" s="32"/>
      <c r="C24" s="32"/>
      <c r="D24" s="32"/>
      <c r="E24" s="32"/>
      <c r="F24" s="32"/>
      <c r="G24" s="32"/>
      <c r="H24" s="32"/>
      <c r="I24" s="32"/>
      <c r="J24" s="32"/>
      <c r="K24" s="32"/>
      <c r="L24" s="32"/>
      <c r="M24" s="32"/>
      <c r="N24" s="32"/>
      <c r="O24" s="32"/>
      <c r="P24" s="32"/>
      <c r="Q24" s="32"/>
    </row>
    <row r="25" spans="1:17" ht="14.25" x14ac:dyDescent="0.2">
      <c r="A25" s="32"/>
      <c r="B25" s="32"/>
      <c r="C25" s="32"/>
      <c r="D25" s="32"/>
      <c r="E25" s="32"/>
      <c r="F25" s="32"/>
      <c r="G25" s="32"/>
      <c r="H25" s="32"/>
      <c r="I25" s="32"/>
      <c r="J25" s="32"/>
      <c r="K25" s="32"/>
      <c r="L25" s="32"/>
      <c r="M25" s="32"/>
      <c r="N25" s="32"/>
      <c r="O25" s="32"/>
      <c r="P25" s="32"/>
      <c r="Q25" s="32"/>
    </row>
    <row r="26" spans="1:17" ht="14.25" x14ac:dyDescent="0.2">
      <c r="A26" s="32"/>
      <c r="B26" s="32"/>
      <c r="C26" s="32"/>
      <c r="D26" s="32"/>
      <c r="E26" s="32"/>
      <c r="F26" s="32"/>
      <c r="G26" s="32"/>
      <c r="H26" s="32"/>
      <c r="I26" s="32"/>
      <c r="J26" s="32"/>
      <c r="K26" s="32"/>
      <c r="L26" s="32"/>
      <c r="M26" s="32"/>
      <c r="N26" s="32"/>
      <c r="O26" s="32"/>
      <c r="P26" s="32"/>
      <c r="Q26" s="32"/>
    </row>
    <row r="27" spans="1:17" ht="15" thickBot="1" x14ac:dyDescent="0.25">
      <c r="A27" s="32"/>
      <c r="B27" s="32"/>
      <c r="C27" s="32"/>
      <c r="D27" s="32"/>
      <c r="E27" s="32"/>
      <c r="F27" s="32"/>
      <c r="G27" s="32"/>
      <c r="H27" s="32"/>
      <c r="I27" s="32"/>
      <c r="J27" s="32"/>
      <c r="K27" s="32"/>
      <c r="L27" s="32"/>
      <c r="M27" s="32"/>
      <c r="N27" s="32"/>
      <c r="O27" s="32"/>
      <c r="P27" s="32"/>
      <c r="Q27" s="32"/>
    </row>
    <row r="28" spans="1:17" ht="45.95" customHeight="1" thickBot="1" x14ac:dyDescent="0.35">
      <c r="A28" s="32"/>
      <c r="B28" s="1338" t="s">
        <v>231</v>
      </c>
      <c r="C28" s="1339"/>
      <c r="D28" s="1339"/>
      <c r="E28" s="1340"/>
      <c r="F28" s="603"/>
      <c r="G28" s="1349" t="s">
        <v>232</v>
      </c>
      <c r="H28" s="1350"/>
      <c r="K28" s="32"/>
      <c r="L28" s="32"/>
      <c r="M28" s="32"/>
      <c r="N28" s="32"/>
      <c r="O28" s="32"/>
    </row>
    <row r="29" spans="1:17" ht="63" x14ac:dyDescent="0.2">
      <c r="A29" s="32"/>
      <c r="B29" s="70" t="s">
        <v>114</v>
      </c>
      <c r="C29" s="71" t="s">
        <v>120</v>
      </c>
      <c r="D29" s="71" t="s">
        <v>147</v>
      </c>
      <c r="E29" s="72" t="s">
        <v>233</v>
      </c>
      <c r="F29" s="35"/>
      <c r="G29" s="73" t="s">
        <v>249</v>
      </c>
      <c r="H29" s="352">
        <f>IF(E32&gt;0, E32, 0)</f>
        <v>26.753006405097736</v>
      </c>
      <c r="K29" s="32"/>
      <c r="L29" s="32"/>
    </row>
    <row r="30" spans="1:17" ht="28.5" x14ac:dyDescent="0.2">
      <c r="A30" s="32"/>
      <c r="B30" s="271" t="str">
        <f>'G-2 Habitat groups'!A174</f>
        <v>Ditches</v>
      </c>
      <c r="C30" s="346">
        <f>'G-2 Habitat groups'!R174</f>
        <v>26.753006405097736</v>
      </c>
      <c r="D30" s="346">
        <f>'G-2 Habitat groups'!AD174</f>
        <v>0</v>
      </c>
      <c r="E30" s="347">
        <f>'G-2 Habitat groups'!AF174</f>
        <v>26.753006405097736</v>
      </c>
      <c r="F30" s="35"/>
      <c r="G30" s="99" t="s">
        <v>229</v>
      </c>
      <c r="H30" s="353">
        <f>SUMIF(E30:E31, "&lt;0", E30:E31)</f>
        <v>0</v>
      </c>
      <c r="K30" s="32"/>
      <c r="L30" s="32"/>
    </row>
    <row r="31" spans="1:17" ht="15" thickBot="1" x14ac:dyDescent="0.25">
      <c r="A31" s="32"/>
      <c r="B31" s="273" t="str">
        <f>'G-2 Habitat groups'!A175</f>
        <v>Canals</v>
      </c>
      <c r="C31" s="355">
        <f>'G-2 Habitat groups'!R175</f>
        <v>0</v>
      </c>
      <c r="D31" s="355">
        <f>'G-2 Habitat groups'!AD175</f>
        <v>0</v>
      </c>
      <c r="E31" s="599">
        <f>'G-2 Habitat groups'!AF175</f>
        <v>0</v>
      </c>
      <c r="F31" s="35"/>
      <c r="H31" s="32"/>
    </row>
    <row r="32" spans="1:17" ht="15" thickBot="1" x14ac:dyDescent="0.25">
      <c r="A32" s="32"/>
      <c r="B32" s="36"/>
      <c r="C32" s="410">
        <f>SUM(C30:C31)</f>
        <v>26.753006405097736</v>
      </c>
      <c r="D32" s="612">
        <f>SUM(D30:D31)</f>
        <v>0</v>
      </c>
      <c r="E32" s="377">
        <f>SUM(E30:E31)</f>
        <v>26.753006405097736</v>
      </c>
      <c r="F32" s="35"/>
      <c r="H32" s="32"/>
      <c r="K32" s="32"/>
      <c r="L32" s="32"/>
    </row>
    <row r="33" spans="1:17" ht="14.45" customHeight="1" x14ac:dyDescent="0.2">
      <c r="A33" s="32"/>
      <c r="B33" s="32"/>
      <c r="C33" s="32"/>
      <c r="H33" s="32"/>
      <c r="I33" s="32"/>
      <c r="J33" s="32"/>
      <c r="K33" s="32"/>
      <c r="L33" s="32"/>
      <c r="M33" s="32"/>
      <c r="N33" s="32"/>
      <c r="O33" s="32"/>
    </row>
    <row r="34" spans="1:17" ht="14.25" x14ac:dyDescent="0.2">
      <c r="A34" s="32"/>
      <c r="B34" s="32"/>
      <c r="C34" s="32"/>
      <c r="D34" s="32"/>
      <c r="E34" s="32"/>
      <c r="F34" s="32"/>
      <c r="G34" s="32"/>
      <c r="H34" s="32"/>
      <c r="I34" s="32"/>
      <c r="J34" s="32"/>
      <c r="K34" s="32"/>
      <c r="L34" s="32"/>
      <c r="M34" s="32"/>
      <c r="N34" s="32"/>
      <c r="O34" s="32"/>
      <c r="P34" s="32"/>
      <c r="Q34" s="32"/>
    </row>
    <row r="35" spans="1:17" ht="14.25" x14ac:dyDescent="0.2">
      <c r="A35" s="32"/>
      <c r="B35" s="32"/>
      <c r="C35" s="32"/>
      <c r="D35" s="32"/>
      <c r="E35" s="32"/>
      <c r="F35" s="32"/>
      <c r="G35" s="32"/>
      <c r="H35" s="32"/>
      <c r="I35" s="32"/>
      <c r="J35" s="32"/>
      <c r="K35" s="32"/>
      <c r="L35" s="32"/>
      <c r="M35" s="32"/>
      <c r="N35" s="32"/>
      <c r="O35" s="32"/>
      <c r="P35" s="32"/>
      <c r="Q35" s="32"/>
    </row>
    <row r="36" spans="1:17" ht="14.25" x14ac:dyDescent="0.2">
      <c r="A36" s="32"/>
      <c r="B36" s="32"/>
      <c r="C36" s="32"/>
      <c r="D36" s="32"/>
      <c r="E36" s="32"/>
      <c r="F36" s="32"/>
      <c r="G36" s="32"/>
      <c r="H36" s="32"/>
      <c r="I36" s="32"/>
      <c r="J36" s="32"/>
      <c r="K36" s="32"/>
      <c r="L36" s="32"/>
      <c r="M36" s="32"/>
      <c r="N36" s="32"/>
      <c r="O36" s="32"/>
      <c r="P36" s="32"/>
      <c r="Q36" s="32"/>
    </row>
    <row r="37" spans="1:17" ht="14.25" x14ac:dyDescent="0.2">
      <c r="A37" s="32"/>
      <c r="B37" s="32"/>
      <c r="C37" s="32"/>
      <c r="D37" s="32"/>
      <c r="E37" s="32"/>
      <c r="F37" s="32"/>
      <c r="G37" s="32"/>
      <c r="H37" s="32"/>
      <c r="I37" s="32"/>
      <c r="J37" s="32"/>
      <c r="K37" s="32"/>
      <c r="L37" s="32"/>
      <c r="M37" s="32"/>
      <c r="N37" s="32"/>
      <c r="O37" s="32"/>
      <c r="P37" s="32"/>
      <c r="Q37" s="32"/>
    </row>
    <row r="38" spans="1:17" ht="14.25" x14ac:dyDescent="0.2">
      <c r="A38" s="32"/>
      <c r="B38" s="32"/>
      <c r="C38" s="32"/>
      <c r="D38" s="32"/>
      <c r="E38" s="32"/>
      <c r="F38" s="32"/>
      <c r="G38" s="32"/>
      <c r="H38" s="32"/>
      <c r="I38" s="32"/>
      <c r="J38" s="32"/>
      <c r="K38" s="32"/>
      <c r="L38" s="32"/>
      <c r="M38" s="32"/>
      <c r="N38" s="32"/>
      <c r="O38" s="32"/>
      <c r="P38" s="32"/>
      <c r="Q38" s="32"/>
    </row>
    <row r="39" spans="1:17" ht="15" thickBot="1" x14ac:dyDescent="0.25">
      <c r="A39" s="32"/>
      <c r="B39" s="32"/>
      <c r="C39" s="32"/>
      <c r="D39" s="32"/>
      <c r="E39" s="32"/>
      <c r="F39" s="38"/>
      <c r="G39" s="32"/>
      <c r="H39" s="32"/>
      <c r="I39" s="32"/>
      <c r="J39" s="32"/>
      <c r="K39" s="32"/>
      <c r="L39" s="32"/>
      <c r="M39" s="32"/>
      <c r="N39" s="32"/>
      <c r="O39" s="32"/>
      <c r="P39" s="32"/>
      <c r="Q39" s="32"/>
    </row>
    <row r="40" spans="1:17" ht="45.6" customHeight="1" thickBot="1" x14ac:dyDescent="0.35">
      <c r="A40" s="32"/>
      <c r="B40" s="1322" t="s">
        <v>237</v>
      </c>
      <c r="C40" s="1323"/>
      <c r="D40" s="1323"/>
      <c r="E40" s="1324"/>
      <c r="F40" s="606"/>
      <c r="G40" s="1349" t="s">
        <v>238</v>
      </c>
      <c r="H40" s="1350"/>
      <c r="I40" s="32"/>
      <c r="J40" s="32"/>
      <c r="K40" s="32"/>
      <c r="L40" s="32"/>
      <c r="M40" s="32"/>
      <c r="N40" s="32"/>
      <c r="O40" s="32"/>
    </row>
    <row r="41" spans="1:17" ht="63" x14ac:dyDescent="0.2">
      <c r="A41" s="32"/>
      <c r="B41" s="70" t="s">
        <v>114</v>
      </c>
      <c r="C41" s="71" t="s">
        <v>221</v>
      </c>
      <c r="D41" s="71" t="s">
        <v>147</v>
      </c>
      <c r="E41" s="72" t="s">
        <v>233</v>
      </c>
      <c r="G41" s="73" t="s">
        <v>239</v>
      </c>
      <c r="H41" s="352">
        <f>E43</f>
        <v>0</v>
      </c>
      <c r="K41" s="32"/>
      <c r="L41" s="32"/>
      <c r="M41" s="32"/>
      <c r="N41" s="32"/>
    </row>
    <row r="42" spans="1:17" ht="15" thickBot="1" x14ac:dyDescent="0.25">
      <c r="A42" s="32"/>
      <c r="B42" s="211" t="str">
        <f>'G-2 Habitat groups'!A176</f>
        <v>Culvert</v>
      </c>
      <c r="C42" s="355">
        <f>'G-2 Habitat groups'!R176</f>
        <v>0</v>
      </c>
      <c r="D42" s="355">
        <f>'G-2 Habitat groups'!AD176</f>
        <v>0</v>
      </c>
      <c r="E42" s="599">
        <f>'G-2 Habitat groups'!AF176</f>
        <v>0</v>
      </c>
      <c r="G42" s="74" t="s">
        <v>1677</v>
      </c>
      <c r="H42" s="351">
        <f>H41+(H29+H21+H12)</f>
        <v>43.946329363163798</v>
      </c>
      <c r="K42" s="32"/>
      <c r="L42" s="32"/>
      <c r="M42" s="32"/>
      <c r="N42" s="32"/>
    </row>
    <row r="43" spans="1:17" ht="15" thickBot="1" x14ac:dyDescent="0.25">
      <c r="A43" s="32"/>
      <c r="B43" s="36"/>
      <c r="C43" s="414">
        <f>SUM(C42:C42)</f>
        <v>0</v>
      </c>
      <c r="D43" s="414">
        <f>D42</f>
        <v>0</v>
      </c>
      <c r="E43" s="414">
        <f>SUM(E42:E42)</f>
        <v>0</v>
      </c>
      <c r="G43" s="32"/>
      <c r="H43" s="32"/>
      <c r="K43" s="32"/>
      <c r="L43" s="32"/>
      <c r="M43" s="32"/>
      <c r="N43" s="32"/>
    </row>
    <row r="44" spans="1:17" ht="14.25" x14ac:dyDescent="0.2">
      <c r="A44" s="32"/>
      <c r="B44" s="32"/>
      <c r="C44" s="32"/>
      <c r="G44" s="32"/>
      <c r="H44" s="32"/>
      <c r="I44" s="32"/>
      <c r="J44" s="32"/>
      <c r="K44" s="32"/>
      <c r="L44" s="32"/>
      <c r="M44" s="32"/>
      <c r="N44" s="32"/>
      <c r="O44" s="32"/>
      <c r="P44" s="32"/>
      <c r="Q44" s="32"/>
    </row>
    <row r="45" spans="1:17" ht="14.25" x14ac:dyDescent="0.2">
      <c r="A45" s="32"/>
      <c r="G45" s="32"/>
      <c r="H45" s="32"/>
      <c r="I45" s="32"/>
      <c r="J45" s="32"/>
      <c r="K45" s="32"/>
      <c r="L45" s="32"/>
      <c r="M45" s="32"/>
      <c r="N45" s="32"/>
      <c r="O45" s="32"/>
      <c r="P45" s="32"/>
      <c r="Q45" s="32"/>
    </row>
    <row r="46" spans="1:17" ht="14.25" hidden="1" x14ac:dyDescent="0.2">
      <c r="A46" s="32"/>
      <c r="B46" s="32"/>
      <c r="C46" s="32"/>
      <c r="D46" s="32"/>
      <c r="E46" s="32"/>
      <c r="F46" s="32"/>
      <c r="G46" s="32"/>
      <c r="H46" s="32"/>
      <c r="I46" s="32"/>
      <c r="J46" s="32"/>
      <c r="K46" s="32"/>
      <c r="L46" s="32"/>
      <c r="M46" s="32"/>
      <c r="N46" s="32"/>
      <c r="O46" s="32"/>
      <c r="P46" s="32"/>
      <c r="Q46" s="32"/>
    </row>
    <row r="47" spans="1:17" ht="14.25" hidden="1" x14ac:dyDescent="0.2">
      <c r="A47" s="32"/>
      <c r="B47" s="32"/>
      <c r="C47" s="32"/>
      <c r="D47" s="32"/>
      <c r="E47" s="32"/>
      <c r="F47" s="32"/>
      <c r="G47" s="32"/>
      <c r="H47" s="32"/>
      <c r="I47" s="32"/>
      <c r="J47" s="32"/>
      <c r="K47" s="32"/>
      <c r="L47" s="32"/>
      <c r="M47" s="32"/>
      <c r="N47" s="32"/>
      <c r="O47" s="32"/>
      <c r="P47" s="32"/>
      <c r="Q47" s="32"/>
    </row>
    <row r="48" spans="1:17" ht="14.25" hidden="1" x14ac:dyDescent="0.2">
      <c r="A48" s="32"/>
      <c r="B48" s="32"/>
      <c r="C48" s="32"/>
      <c r="D48" s="32"/>
      <c r="E48" s="32"/>
      <c r="F48" s="32"/>
      <c r="G48" s="32"/>
      <c r="H48" s="32"/>
      <c r="I48" s="32"/>
      <c r="J48" s="32"/>
      <c r="K48" s="32"/>
      <c r="L48" s="32"/>
      <c r="M48" s="32"/>
      <c r="N48" s="32"/>
      <c r="O48" s="32"/>
      <c r="P48" s="32"/>
      <c r="Q48" s="32"/>
    </row>
    <row r="49" spans="1:17" ht="14.25" hidden="1" x14ac:dyDescent="0.2">
      <c r="A49" s="32"/>
      <c r="B49" s="32"/>
      <c r="C49" s="32"/>
      <c r="D49" s="32"/>
      <c r="E49" s="32"/>
      <c r="F49" s="32"/>
      <c r="G49" s="32"/>
      <c r="H49" s="32"/>
      <c r="I49" s="32"/>
      <c r="J49" s="32"/>
      <c r="K49" s="32"/>
      <c r="L49" s="32"/>
      <c r="M49" s="32"/>
      <c r="N49" s="32"/>
      <c r="O49" s="32"/>
      <c r="P49" s="32"/>
      <c r="Q49" s="32"/>
    </row>
    <row r="50" spans="1:17" ht="14.25" hidden="1" x14ac:dyDescent="0.2">
      <c r="A50" s="32"/>
      <c r="B50" s="32"/>
      <c r="C50" s="32"/>
      <c r="D50" s="32"/>
      <c r="E50" s="32"/>
      <c r="F50" s="32"/>
      <c r="G50" s="32"/>
      <c r="H50" s="32"/>
      <c r="I50" s="32"/>
      <c r="J50" s="32"/>
      <c r="K50" s="32"/>
      <c r="L50" s="32"/>
      <c r="M50" s="32"/>
      <c r="N50" s="32"/>
      <c r="O50" s="32"/>
      <c r="P50" s="32"/>
      <c r="Q50" s="32"/>
    </row>
    <row r="51" spans="1:17" ht="14.25" hidden="1" x14ac:dyDescent="0.2">
      <c r="A51" s="32"/>
      <c r="B51" s="32"/>
      <c r="C51" s="32"/>
      <c r="D51" s="32"/>
      <c r="E51" s="32"/>
      <c r="F51" s="32"/>
      <c r="G51" s="32"/>
      <c r="H51" s="32"/>
      <c r="I51" s="32"/>
      <c r="J51" s="32"/>
      <c r="K51" s="32"/>
      <c r="L51" s="32"/>
      <c r="M51" s="32"/>
      <c r="N51" s="32"/>
      <c r="O51" s="32"/>
      <c r="P51" s="32"/>
      <c r="Q51" s="32"/>
    </row>
    <row r="52" spans="1:17" ht="14.25" hidden="1" x14ac:dyDescent="0.2">
      <c r="A52" s="32"/>
      <c r="B52" s="32"/>
      <c r="C52" s="32"/>
      <c r="D52" s="32"/>
      <c r="E52" s="32"/>
      <c r="F52" s="32"/>
      <c r="G52" s="32"/>
      <c r="H52" s="32"/>
      <c r="I52" s="32"/>
      <c r="J52" s="32"/>
      <c r="K52" s="32"/>
      <c r="L52" s="32"/>
      <c r="M52" s="32"/>
      <c r="N52" s="32"/>
      <c r="O52" s="32"/>
      <c r="P52" s="32"/>
      <c r="Q52" s="32"/>
    </row>
    <row r="53" spans="1:17" ht="14.25" hidden="1" x14ac:dyDescent="0.2">
      <c r="A53" s="32"/>
      <c r="B53" s="32"/>
      <c r="C53" s="32"/>
      <c r="D53" s="32"/>
      <c r="E53" s="32"/>
      <c r="F53" s="32"/>
      <c r="G53" s="32"/>
      <c r="H53" s="32"/>
      <c r="I53" s="32"/>
      <c r="J53" s="32"/>
      <c r="K53" s="32"/>
      <c r="L53" s="32"/>
      <c r="M53" s="32"/>
      <c r="N53" s="32"/>
      <c r="O53" s="32"/>
      <c r="P53" s="32"/>
      <c r="Q53" s="32"/>
    </row>
    <row r="54" spans="1:17" ht="14.25" hidden="1" x14ac:dyDescent="0.2">
      <c r="A54" s="32"/>
      <c r="B54" s="32"/>
      <c r="C54" s="32"/>
      <c r="D54" s="32"/>
      <c r="E54" s="32"/>
      <c r="F54" s="32"/>
      <c r="G54" s="32"/>
      <c r="H54" s="32"/>
      <c r="I54" s="32"/>
      <c r="J54" s="32"/>
      <c r="K54" s="32"/>
      <c r="L54" s="32"/>
      <c r="M54" s="32"/>
      <c r="N54" s="32"/>
      <c r="O54" s="32"/>
      <c r="P54" s="32"/>
      <c r="Q54" s="32"/>
    </row>
    <row r="55" spans="1:17" ht="14.25" hidden="1" x14ac:dyDescent="0.2">
      <c r="A55" s="32"/>
      <c r="B55" s="32"/>
      <c r="C55" s="32"/>
      <c r="D55" s="32"/>
      <c r="E55" s="32"/>
      <c r="F55" s="32"/>
      <c r="G55" s="32"/>
      <c r="H55" s="32"/>
      <c r="I55" s="32"/>
      <c r="J55" s="32"/>
      <c r="K55" s="32"/>
      <c r="L55" s="32"/>
      <c r="M55" s="32"/>
      <c r="N55" s="32"/>
      <c r="O55" s="32"/>
      <c r="P55" s="32"/>
      <c r="Q55" s="32"/>
    </row>
    <row r="56" spans="1:17" ht="14.25" hidden="1" x14ac:dyDescent="0.2">
      <c r="A56" s="32"/>
      <c r="B56" s="32"/>
      <c r="C56" s="32"/>
      <c r="D56" s="32"/>
      <c r="E56" s="32"/>
      <c r="F56" s="32"/>
      <c r="G56" s="32"/>
      <c r="H56" s="32"/>
      <c r="I56" s="32"/>
      <c r="J56" s="32"/>
      <c r="K56" s="32"/>
      <c r="L56" s="32"/>
      <c r="M56" s="32"/>
      <c r="N56" s="32"/>
      <c r="O56" s="32"/>
      <c r="P56" s="32"/>
      <c r="Q56" s="32"/>
    </row>
    <row r="57" spans="1:17" ht="14.25" hidden="1" x14ac:dyDescent="0.2">
      <c r="A57" s="32"/>
      <c r="B57" s="32"/>
      <c r="C57" s="32"/>
      <c r="D57" s="32"/>
      <c r="E57" s="32"/>
      <c r="F57" s="32"/>
      <c r="G57" s="32"/>
      <c r="H57" s="32"/>
      <c r="I57" s="32"/>
      <c r="J57" s="32"/>
      <c r="K57" s="32"/>
      <c r="L57" s="32"/>
      <c r="M57" s="32"/>
      <c r="N57" s="32"/>
      <c r="O57" s="32"/>
      <c r="P57" s="32"/>
      <c r="Q57" s="32"/>
    </row>
    <row r="58" spans="1:17" ht="14.25" hidden="1" x14ac:dyDescent="0.2">
      <c r="A58" s="32"/>
      <c r="B58" s="32"/>
      <c r="C58" s="32"/>
      <c r="D58" s="32"/>
      <c r="E58" s="32"/>
      <c r="F58" s="32"/>
      <c r="G58" s="32"/>
      <c r="H58" s="32"/>
      <c r="I58" s="32"/>
      <c r="J58" s="32"/>
      <c r="K58" s="32"/>
      <c r="L58" s="32"/>
      <c r="M58" s="32"/>
      <c r="N58" s="32"/>
      <c r="O58" s="32"/>
      <c r="P58" s="32"/>
      <c r="Q58" s="32"/>
    </row>
    <row r="59" spans="1:17" ht="14.25" hidden="1" x14ac:dyDescent="0.2">
      <c r="A59" s="32"/>
      <c r="B59" s="32"/>
      <c r="C59" s="32"/>
      <c r="D59" s="32"/>
      <c r="E59" s="32"/>
      <c r="F59" s="32"/>
      <c r="G59" s="32"/>
      <c r="H59" s="32"/>
      <c r="I59" s="32"/>
      <c r="J59" s="32"/>
      <c r="K59" s="32"/>
      <c r="L59" s="32"/>
      <c r="M59" s="32"/>
      <c r="N59" s="32"/>
      <c r="O59" s="32"/>
      <c r="P59" s="32"/>
      <c r="Q59" s="32"/>
    </row>
    <row r="60" spans="1:17" ht="14.25" hidden="1" x14ac:dyDescent="0.2">
      <c r="A60" s="32"/>
      <c r="B60" s="32"/>
      <c r="C60" s="32"/>
      <c r="D60" s="32"/>
      <c r="E60" s="32"/>
      <c r="F60" s="32"/>
      <c r="G60" s="32"/>
      <c r="H60" s="32"/>
      <c r="I60" s="32"/>
      <c r="J60" s="32"/>
      <c r="K60" s="32"/>
      <c r="L60" s="32"/>
      <c r="M60" s="32"/>
      <c r="N60" s="32"/>
      <c r="O60" s="32"/>
      <c r="P60" s="32"/>
      <c r="Q60" s="32"/>
    </row>
    <row r="61" spans="1:17" ht="14.25" hidden="1" x14ac:dyDescent="0.2">
      <c r="A61" s="32"/>
      <c r="B61" s="32"/>
      <c r="C61" s="32"/>
      <c r="D61" s="32"/>
      <c r="E61" s="32"/>
      <c r="F61" s="32"/>
      <c r="G61" s="32"/>
      <c r="H61" s="32"/>
      <c r="I61" s="32"/>
      <c r="J61" s="32"/>
      <c r="K61" s="32"/>
      <c r="L61" s="32"/>
      <c r="M61" s="32"/>
      <c r="N61" s="32"/>
      <c r="O61" s="32"/>
      <c r="P61" s="32"/>
      <c r="Q61" s="32"/>
    </row>
    <row r="62" spans="1:17" ht="14.25" hidden="1" x14ac:dyDescent="0.2">
      <c r="A62" s="32"/>
      <c r="B62" s="32"/>
      <c r="C62" s="32"/>
      <c r="D62" s="32"/>
      <c r="E62" s="32"/>
      <c r="F62" s="32"/>
      <c r="G62" s="32"/>
      <c r="H62" s="32"/>
      <c r="I62" s="32"/>
      <c r="J62" s="32"/>
      <c r="K62" s="32"/>
      <c r="L62" s="32"/>
      <c r="M62" s="32"/>
      <c r="N62" s="32"/>
      <c r="O62" s="32"/>
      <c r="P62" s="32"/>
      <c r="Q62" s="32"/>
    </row>
    <row r="63" spans="1:17" ht="14.25" hidden="1" x14ac:dyDescent="0.2">
      <c r="A63" s="32"/>
      <c r="B63" s="32"/>
      <c r="C63" s="32"/>
      <c r="D63" s="32"/>
      <c r="E63" s="32"/>
      <c r="F63" s="32"/>
      <c r="G63" s="32"/>
      <c r="H63" s="32"/>
      <c r="I63" s="32"/>
      <c r="J63" s="32"/>
      <c r="K63" s="32"/>
      <c r="L63" s="32"/>
      <c r="M63" s="32"/>
      <c r="N63" s="32"/>
      <c r="O63" s="32"/>
      <c r="P63" s="32"/>
      <c r="Q63" s="32"/>
    </row>
    <row r="64" spans="1:17" ht="14.25" hidden="1" x14ac:dyDescent="0.2">
      <c r="A64" s="32"/>
      <c r="B64" s="32"/>
      <c r="C64" s="32"/>
      <c r="D64" s="32"/>
      <c r="E64" s="32"/>
      <c r="F64" s="32"/>
      <c r="G64" s="32"/>
      <c r="H64" s="32"/>
      <c r="I64" s="32"/>
      <c r="J64" s="32"/>
      <c r="K64" s="32"/>
      <c r="L64" s="32"/>
      <c r="M64" s="32"/>
      <c r="N64" s="32"/>
      <c r="O64" s="32"/>
      <c r="P64" s="32"/>
      <c r="Q64" s="32"/>
    </row>
    <row r="65" spans="1:17" ht="14.25" hidden="1" x14ac:dyDescent="0.2">
      <c r="A65" s="32"/>
      <c r="B65" s="32"/>
      <c r="C65" s="32"/>
      <c r="D65" s="32"/>
      <c r="E65" s="32"/>
      <c r="F65" s="32"/>
      <c r="G65" s="32"/>
      <c r="H65" s="32"/>
      <c r="I65" s="32"/>
      <c r="J65" s="32"/>
      <c r="K65" s="32"/>
      <c r="L65" s="32"/>
      <c r="M65" s="32"/>
      <c r="N65" s="32"/>
      <c r="O65" s="32"/>
      <c r="P65" s="32"/>
      <c r="Q65" s="32"/>
    </row>
    <row r="66" spans="1:17" ht="14.25" hidden="1" x14ac:dyDescent="0.2">
      <c r="A66" s="32"/>
      <c r="B66" s="32"/>
      <c r="C66" s="32"/>
      <c r="D66" s="32"/>
      <c r="E66" s="32"/>
      <c r="F66" s="32"/>
      <c r="G66" s="32"/>
      <c r="H66" s="32"/>
      <c r="I66" s="32"/>
      <c r="J66" s="32"/>
      <c r="K66" s="32"/>
      <c r="L66" s="32"/>
      <c r="M66" s="32"/>
      <c r="N66" s="32"/>
      <c r="O66" s="32"/>
      <c r="P66" s="32"/>
      <c r="Q66" s="32"/>
    </row>
    <row r="67" spans="1:17" ht="14.25" hidden="1" x14ac:dyDescent="0.2">
      <c r="A67" s="32"/>
      <c r="B67" s="32"/>
      <c r="C67" s="32"/>
      <c r="D67" s="32"/>
      <c r="E67" s="32"/>
      <c r="F67" s="32"/>
      <c r="G67" s="32"/>
      <c r="H67" s="32"/>
      <c r="I67" s="32"/>
      <c r="J67" s="32"/>
      <c r="K67" s="32"/>
      <c r="L67" s="32"/>
      <c r="M67" s="32"/>
      <c r="N67" s="32"/>
      <c r="O67" s="32"/>
      <c r="P67" s="32"/>
      <c r="Q67" s="32"/>
    </row>
    <row r="68" spans="1:17" ht="14.25" hidden="1" x14ac:dyDescent="0.2">
      <c r="A68" s="32"/>
      <c r="B68" s="32"/>
      <c r="C68" s="32"/>
      <c r="D68" s="32"/>
      <c r="E68" s="32"/>
      <c r="F68" s="32"/>
      <c r="G68" s="32"/>
      <c r="H68" s="32"/>
      <c r="I68" s="32"/>
      <c r="J68" s="32"/>
      <c r="K68" s="32"/>
      <c r="L68" s="32"/>
      <c r="M68" s="32"/>
      <c r="N68" s="32"/>
      <c r="O68" s="32"/>
      <c r="P68" s="32"/>
      <c r="Q68" s="32"/>
    </row>
    <row r="69" spans="1:17" ht="14.25" hidden="1" x14ac:dyDescent="0.2">
      <c r="A69" s="32"/>
      <c r="B69" s="32"/>
      <c r="C69" s="32"/>
      <c r="D69" s="32"/>
      <c r="E69" s="32"/>
      <c r="F69" s="32"/>
      <c r="G69" s="32"/>
      <c r="H69" s="32"/>
      <c r="I69" s="32"/>
      <c r="J69" s="32"/>
      <c r="K69" s="32"/>
      <c r="L69" s="32"/>
      <c r="M69" s="32"/>
      <c r="N69" s="32"/>
      <c r="O69" s="32"/>
      <c r="P69" s="32"/>
      <c r="Q69" s="32"/>
    </row>
    <row r="70" spans="1:17" ht="14.25" hidden="1" x14ac:dyDescent="0.2">
      <c r="A70" s="32"/>
      <c r="B70" s="32"/>
      <c r="C70" s="32"/>
      <c r="D70" s="32"/>
      <c r="E70" s="32"/>
      <c r="F70" s="32"/>
      <c r="G70" s="32"/>
      <c r="H70" s="32"/>
      <c r="I70" s="32"/>
      <c r="J70" s="32"/>
      <c r="K70" s="32"/>
      <c r="L70" s="32"/>
      <c r="M70" s="32"/>
      <c r="N70" s="32"/>
      <c r="O70" s="32"/>
      <c r="P70" s="32"/>
      <c r="Q70" s="32"/>
    </row>
    <row r="71" spans="1:17" ht="14.25" hidden="1" x14ac:dyDescent="0.2">
      <c r="A71" s="32"/>
      <c r="B71" s="32"/>
      <c r="C71" s="32"/>
      <c r="D71" s="32"/>
      <c r="E71" s="32"/>
      <c r="F71" s="32"/>
      <c r="G71" s="32"/>
      <c r="H71" s="32"/>
      <c r="I71" s="32"/>
      <c r="J71" s="32"/>
      <c r="K71" s="32"/>
      <c r="L71" s="32"/>
      <c r="M71" s="32"/>
      <c r="N71" s="32"/>
      <c r="O71" s="32"/>
      <c r="P71" s="32"/>
      <c r="Q71" s="32"/>
    </row>
    <row r="72" spans="1:17" ht="14.25" hidden="1" x14ac:dyDescent="0.2">
      <c r="A72" s="32"/>
      <c r="B72" s="32"/>
      <c r="C72" s="32"/>
      <c r="D72" s="32"/>
      <c r="E72" s="32"/>
      <c r="F72" s="32"/>
      <c r="G72" s="32"/>
      <c r="H72" s="32"/>
      <c r="I72" s="32"/>
      <c r="J72" s="32"/>
      <c r="K72" s="32"/>
      <c r="L72" s="32"/>
      <c r="M72" s="32"/>
      <c r="N72" s="32"/>
      <c r="O72" s="32"/>
      <c r="P72" s="32"/>
      <c r="Q72" s="32"/>
    </row>
    <row r="73" spans="1:17" ht="14.25" hidden="1" x14ac:dyDescent="0.2">
      <c r="A73" s="32"/>
      <c r="B73" s="32"/>
      <c r="C73" s="32"/>
      <c r="D73" s="32"/>
      <c r="E73" s="32"/>
      <c r="F73" s="32"/>
      <c r="G73" s="32"/>
      <c r="H73" s="32"/>
      <c r="I73" s="32"/>
      <c r="J73" s="32"/>
      <c r="K73" s="32"/>
      <c r="L73" s="32"/>
      <c r="M73" s="32"/>
      <c r="N73" s="32"/>
      <c r="O73" s="32"/>
      <c r="P73" s="32"/>
      <c r="Q73" s="32"/>
    </row>
    <row r="74" spans="1:17" ht="14.25" hidden="1" x14ac:dyDescent="0.2">
      <c r="A74" s="32"/>
      <c r="B74" s="32"/>
      <c r="C74" s="32"/>
      <c r="D74" s="32"/>
      <c r="E74" s="32"/>
      <c r="F74" s="32"/>
      <c r="G74" s="32"/>
      <c r="H74" s="32"/>
      <c r="I74" s="32"/>
      <c r="J74" s="32"/>
      <c r="K74" s="32"/>
      <c r="L74" s="32"/>
      <c r="M74" s="32"/>
      <c r="N74" s="32"/>
      <c r="O74" s="32"/>
      <c r="P74" s="32"/>
      <c r="Q74" s="32"/>
    </row>
    <row r="75" spans="1:17" ht="14.25" hidden="1" x14ac:dyDescent="0.2">
      <c r="A75" s="32"/>
      <c r="B75" s="32"/>
      <c r="C75" s="32"/>
      <c r="D75" s="32"/>
      <c r="E75" s="32"/>
      <c r="F75" s="32"/>
      <c r="G75" s="32"/>
      <c r="H75" s="32"/>
      <c r="I75" s="32"/>
      <c r="J75" s="32"/>
      <c r="K75" s="32"/>
      <c r="L75" s="32"/>
      <c r="M75" s="32"/>
      <c r="N75" s="32"/>
      <c r="O75" s="32"/>
      <c r="P75" s="32"/>
      <c r="Q75" s="32"/>
    </row>
    <row r="76" spans="1:17" ht="14.25" hidden="1" x14ac:dyDescent="0.2">
      <c r="A76" s="32"/>
      <c r="B76" s="32"/>
      <c r="C76" s="32"/>
      <c r="D76" s="32"/>
      <c r="E76" s="32"/>
      <c r="F76" s="32"/>
      <c r="G76" s="32"/>
      <c r="H76" s="32"/>
      <c r="I76" s="32"/>
      <c r="J76" s="32"/>
      <c r="K76" s="32"/>
      <c r="L76" s="32"/>
      <c r="M76" s="32"/>
      <c r="N76" s="32"/>
      <c r="O76" s="32"/>
      <c r="P76" s="32"/>
      <c r="Q76" s="32"/>
    </row>
    <row r="77" spans="1:17" ht="14.25" hidden="1" x14ac:dyDescent="0.2">
      <c r="A77" s="32"/>
      <c r="B77" s="32"/>
      <c r="C77" s="32"/>
      <c r="D77" s="32"/>
      <c r="E77" s="32"/>
      <c r="F77" s="32"/>
      <c r="G77" s="32"/>
      <c r="H77" s="32"/>
      <c r="I77" s="32"/>
      <c r="J77" s="32"/>
      <c r="K77" s="32"/>
      <c r="L77" s="32"/>
      <c r="M77" s="32"/>
      <c r="N77" s="32"/>
      <c r="O77" s="32"/>
      <c r="P77" s="32"/>
      <c r="Q77" s="32"/>
    </row>
    <row r="78" spans="1:17" ht="14.25" hidden="1" x14ac:dyDescent="0.2">
      <c r="A78" s="32"/>
      <c r="B78" s="32"/>
      <c r="C78" s="32"/>
      <c r="D78" s="32"/>
      <c r="E78" s="32"/>
      <c r="F78" s="32"/>
      <c r="G78" s="32"/>
      <c r="H78" s="32"/>
      <c r="I78" s="32"/>
      <c r="J78" s="32"/>
      <c r="K78" s="32"/>
      <c r="L78" s="32"/>
      <c r="M78" s="32"/>
      <c r="N78" s="32"/>
      <c r="O78" s="32"/>
      <c r="P78" s="32"/>
      <c r="Q78" s="32"/>
    </row>
    <row r="79" spans="1:17" ht="14.25" hidden="1" x14ac:dyDescent="0.2">
      <c r="A79" s="32"/>
      <c r="B79" s="32"/>
      <c r="C79" s="32"/>
      <c r="D79" s="32"/>
      <c r="E79" s="32"/>
      <c r="F79" s="32"/>
      <c r="G79" s="32"/>
      <c r="H79" s="32"/>
      <c r="I79" s="32"/>
      <c r="J79" s="32"/>
      <c r="K79" s="32"/>
      <c r="L79" s="32"/>
      <c r="M79" s="32"/>
      <c r="N79" s="32"/>
      <c r="O79" s="32"/>
      <c r="P79" s="32"/>
      <c r="Q79" s="32"/>
    </row>
    <row r="80" spans="1:17" ht="14.25" hidden="1" x14ac:dyDescent="0.2">
      <c r="A80" s="32"/>
      <c r="B80" s="32"/>
      <c r="C80" s="32"/>
      <c r="D80" s="32"/>
      <c r="E80" s="32"/>
      <c r="F80" s="32"/>
      <c r="G80" s="32"/>
      <c r="H80" s="32"/>
      <c r="I80" s="32"/>
      <c r="J80" s="32"/>
      <c r="K80" s="32"/>
      <c r="L80" s="32"/>
      <c r="M80" s="32"/>
      <c r="N80" s="32"/>
      <c r="O80" s="32"/>
      <c r="P80" s="32"/>
      <c r="Q80" s="32"/>
    </row>
    <row r="81" spans="1:17" ht="14.25" hidden="1" x14ac:dyDescent="0.2">
      <c r="A81" s="32"/>
      <c r="B81" s="32"/>
      <c r="C81" s="32"/>
      <c r="D81" s="32"/>
      <c r="E81" s="32"/>
      <c r="F81" s="32"/>
      <c r="G81" s="32"/>
      <c r="H81" s="32"/>
      <c r="I81" s="32"/>
      <c r="J81" s="32"/>
      <c r="K81" s="32"/>
      <c r="L81" s="32"/>
      <c r="M81" s="32"/>
      <c r="N81" s="32"/>
      <c r="O81" s="32"/>
      <c r="P81" s="32"/>
      <c r="Q81" s="32"/>
    </row>
    <row r="82" spans="1:17" ht="14.25" hidden="1" x14ac:dyDescent="0.2">
      <c r="A82" s="32"/>
      <c r="B82" s="32"/>
      <c r="C82" s="32"/>
      <c r="D82" s="32"/>
      <c r="E82" s="32"/>
      <c r="F82" s="32"/>
      <c r="G82" s="32"/>
      <c r="H82" s="32"/>
      <c r="I82" s="32"/>
      <c r="J82" s="32"/>
      <c r="K82" s="32"/>
      <c r="L82" s="32"/>
      <c r="M82" s="32"/>
      <c r="N82" s="32"/>
      <c r="O82" s="32"/>
      <c r="P82" s="32"/>
      <c r="Q82" s="32"/>
    </row>
    <row r="83" spans="1:17" ht="14.25" hidden="1" x14ac:dyDescent="0.2">
      <c r="A83" s="32"/>
      <c r="B83" s="32"/>
      <c r="C83" s="32"/>
      <c r="D83" s="32"/>
      <c r="E83" s="32"/>
      <c r="F83" s="32"/>
      <c r="G83" s="32"/>
      <c r="H83" s="32"/>
      <c r="I83" s="32"/>
      <c r="J83" s="32"/>
      <c r="K83" s="32"/>
      <c r="L83" s="32"/>
      <c r="M83" s="32"/>
      <c r="N83" s="32"/>
      <c r="O83" s="32"/>
      <c r="P83" s="32"/>
      <c r="Q83" s="32"/>
    </row>
    <row r="84" spans="1:17" ht="14.25" hidden="1" x14ac:dyDescent="0.2">
      <c r="A84" s="32"/>
      <c r="B84" s="32"/>
      <c r="C84" s="32"/>
      <c r="D84" s="32"/>
      <c r="E84" s="32"/>
      <c r="F84" s="32"/>
      <c r="G84" s="32"/>
      <c r="H84" s="32"/>
      <c r="I84" s="32"/>
      <c r="J84" s="32"/>
      <c r="K84" s="32"/>
      <c r="L84" s="32"/>
      <c r="M84" s="32"/>
      <c r="N84" s="32"/>
      <c r="O84" s="32"/>
      <c r="P84" s="32"/>
      <c r="Q84" s="32"/>
    </row>
    <row r="85" spans="1:17" ht="14.25" hidden="1" x14ac:dyDescent="0.2">
      <c r="A85" s="32"/>
      <c r="B85" s="32"/>
      <c r="C85" s="32"/>
      <c r="D85" s="32"/>
      <c r="E85" s="32"/>
      <c r="F85" s="32"/>
      <c r="G85" s="32"/>
      <c r="H85" s="32"/>
      <c r="I85" s="32"/>
      <c r="J85" s="32"/>
      <c r="K85" s="32"/>
      <c r="L85" s="32"/>
      <c r="M85" s="32"/>
      <c r="N85" s="32"/>
      <c r="O85" s="32"/>
      <c r="P85" s="32"/>
      <c r="Q85" s="32"/>
    </row>
    <row r="86" spans="1:17" ht="14.25" hidden="1" x14ac:dyDescent="0.2">
      <c r="A86" s="32"/>
      <c r="B86" s="32"/>
      <c r="C86" s="32"/>
      <c r="D86" s="32"/>
      <c r="E86" s="32"/>
      <c r="F86" s="32"/>
      <c r="G86" s="32"/>
      <c r="H86" s="32"/>
      <c r="I86" s="32"/>
      <c r="J86" s="32"/>
      <c r="K86" s="32"/>
      <c r="L86" s="32"/>
      <c r="M86" s="32"/>
      <c r="N86" s="32"/>
      <c r="O86" s="32"/>
      <c r="P86" s="32"/>
      <c r="Q86" s="32"/>
    </row>
    <row r="87" spans="1:17" ht="14.25" hidden="1" x14ac:dyDescent="0.2">
      <c r="A87" s="32"/>
      <c r="B87" s="32"/>
      <c r="C87" s="32"/>
      <c r="D87" s="32"/>
      <c r="E87" s="32"/>
      <c r="F87" s="32"/>
      <c r="G87" s="32"/>
      <c r="H87" s="32"/>
      <c r="I87" s="32"/>
      <c r="J87" s="32"/>
      <c r="K87" s="32"/>
      <c r="L87" s="32"/>
      <c r="M87" s="32"/>
      <c r="N87" s="32"/>
      <c r="O87" s="32"/>
      <c r="P87" s="32"/>
      <c r="Q87" s="32"/>
    </row>
    <row r="88" spans="1:17" ht="14.25" hidden="1" x14ac:dyDescent="0.2">
      <c r="A88" s="32"/>
      <c r="B88" s="32"/>
      <c r="C88" s="32"/>
      <c r="D88" s="32"/>
      <c r="E88" s="32"/>
      <c r="F88" s="32"/>
      <c r="G88" s="32"/>
      <c r="H88" s="32"/>
      <c r="I88" s="32"/>
      <c r="J88" s="32"/>
      <c r="K88" s="32"/>
      <c r="L88" s="32"/>
      <c r="M88" s="32"/>
      <c r="N88" s="32"/>
      <c r="O88" s="32"/>
      <c r="P88" s="32"/>
      <c r="Q88" s="32"/>
    </row>
    <row r="89" spans="1:17" ht="14.25" hidden="1" x14ac:dyDescent="0.2">
      <c r="A89" s="32"/>
      <c r="B89" s="32"/>
      <c r="C89" s="32"/>
      <c r="D89" s="32"/>
      <c r="E89" s="32"/>
      <c r="F89" s="32"/>
      <c r="G89" s="32"/>
      <c r="H89" s="32"/>
      <c r="I89" s="32"/>
      <c r="J89" s="32"/>
      <c r="K89" s="32"/>
      <c r="L89" s="32"/>
      <c r="M89" s="32"/>
      <c r="N89" s="32"/>
      <c r="O89" s="32"/>
      <c r="P89" s="32"/>
      <c r="Q89" s="32"/>
    </row>
    <row r="90" spans="1:17" ht="14.25" hidden="1" x14ac:dyDescent="0.2">
      <c r="A90" s="32"/>
      <c r="B90" s="32"/>
      <c r="C90" s="32"/>
      <c r="D90" s="32"/>
      <c r="E90" s="32"/>
      <c r="F90" s="32"/>
      <c r="G90" s="32"/>
      <c r="H90" s="32"/>
      <c r="I90" s="32"/>
      <c r="J90" s="32"/>
      <c r="K90" s="32"/>
      <c r="L90" s="32"/>
      <c r="M90" s="32"/>
      <c r="N90" s="32"/>
      <c r="O90" s="32"/>
      <c r="P90" s="32"/>
      <c r="Q90" s="32"/>
    </row>
    <row r="91" spans="1:17" ht="14.25" hidden="1" x14ac:dyDescent="0.2">
      <c r="A91" s="32"/>
      <c r="B91" s="32"/>
      <c r="C91" s="32"/>
      <c r="D91" s="32"/>
      <c r="E91" s="32"/>
      <c r="F91" s="32"/>
      <c r="G91" s="32"/>
      <c r="H91" s="32"/>
      <c r="I91" s="32"/>
      <c r="J91" s="32"/>
      <c r="K91" s="32"/>
      <c r="L91" s="32"/>
      <c r="M91" s="32"/>
      <c r="N91" s="32"/>
      <c r="O91" s="32"/>
      <c r="P91" s="32"/>
      <c r="Q91" s="32"/>
    </row>
    <row r="92" spans="1:17" ht="14.25" hidden="1" x14ac:dyDescent="0.2">
      <c r="A92" s="32"/>
      <c r="B92" s="32"/>
      <c r="C92" s="32"/>
      <c r="D92" s="32"/>
      <c r="E92" s="32"/>
      <c r="F92" s="32"/>
      <c r="G92" s="32"/>
      <c r="H92" s="32"/>
      <c r="I92" s="32"/>
      <c r="J92" s="32"/>
      <c r="K92" s="32"/>
      <c r="L92" s="32"/>
      <c r="M92" s="32"/>
      <c r="N92" s="32"/>
      <c r="O92" s="32"/>
      <c r="P92" s="32"/>
      <c r="Q92" s="32"/>
    </row>
    <row r="93" spans="1:17" ht="14.25" hidden="1" x14ac:dyDescent="0.2">
      <c r="A93" s="32"/>
      <c r="B93" s="32"/>
      <c r="C93" s="32"/>
      <c r="D93" s="32"/>
      <c r="E93" s="32"/>
      <c r="F93" s="32"/>
      <c r="G93" s="32"/>
      <c r="H93" s="32"/>
      <c r="I93" s="32"/>
      <c r="J93" s="32"/>
      <c r="K93" s="32"/>
      <c r="L93" s="32"/>
      <c r="M93" s="32"/>
      <c r="N93" s="32"/>
      <c r="O93" s="32"/>
      <c r="P93" s="32"/>
      <c r="Q93" s="32"/>
    </row>
    <row r="94" spans="1:17" ht="14.25" hidden="1" x14ac:dyDescent="0.2">
      <c r="A94" s="32"/>
      <c r="B94" s="32"/>
      <c r="C94" s="32"/>
      <c r="D94" s="32"/>
      <c r="E94" s="32"/>
      <c r="F94" s="32"/>
      <c r="G94" s="32"/>
      <c r="H94" s="32"/>
      <c r="I94" s="32"/>
      <c r="J94" s="32"/>
      <c r="K94" s="32"/>
      <c r="L94" s="32"/>
      <c r="M94" s="32"/>
      <c r="N94" s="32"/>
      <c r="O94" s="32"/>
      <c r="P94" s="32"/>
      <c r="Q94" s="32"/>
    </row>
    <row r="95" spans="1:17" ht="14.25" hidden="1" x14ac:dyDescent="0.2">
      <c r="A95" s="32"/>
      <c r="B95" s="32"/>
      <c r="C95" s="32"/>
      <c r="D95" s="32"/>
      <c r="E95" s="32"/>
      <c r="F95" s="32"/>
      <c r="G95" s="32"/>
      <c r="H95" s="32"/>
      <c r="I95" s="32"/>
      <c r="J95" s="32"/>
      <c r="K95" s="32"/>
      <c r="L95" s="32"/>
      <c r="M95" s="32"/>
      <c r="N95" s="32"/>
      <c r="O95" s="32"/>
      <c r="P95" s="32"/>
      <c r="Q95" s="32"/>
    </row>
    <row r="96" spans="1:17" ht="14.25" hidden="1" x14ac:dyDescent="0.2">
      <c r="A96" s="32"/>
      <c r="B96" s="32"/>
      <c r="C96" s="32"/>
      <c r="D96" s="32"/>
      <c r="E96" s="32"/>
      <c r="F96" s="32"/>
      <c r="G96" s="32"/>
      <c r="H96" s="32"/>
      <c r="I96" s="32"/>
      <c r="J96" s="32"/>
      <c r="K96" s="32"/>
      <c r="L96" s="32"/>
      <c r="M96" s="32"/>
      <c r="N96" s="32"/>
      <c r="O96" s="32"/>
      <c r="P96" s="32"/>
      <c r="Q96" s="32"/>
    </row>
    <row r="97" spans="1:17" ht="14.25" hidden="1" x14ac:dyDescent="0.2">
      <c r="A97" s="32"/>
      <c r="B97" s="32"/>
      <c r="C97" s="32"/>
      <c r="D97" s="32"/>
      <c r="E97" s="32"/>
      <c r="F97" s="32"/>
      <c r="G97" s="32"/>
      <c r="H97" s="32"/>
      <c r="I97" s="32"/>
      <c r="J97" s="32"/>
      <c r="K97" s="32"/>
      <c r="L97" s="32"/>
      <c r="M97" s="32"/>
      <c r="N97" s="32"/>
      <c r="O97" s="32"/>
      <c r="P97" s="32"/>
      <c r="Q97" s="32"/>
    </row>
    <row r="98" spans="1:17" ht="14.25" hidden="1" x14ac:dyDescent="0.2">
      <c r="A98" s="32"/>
      <c r="B98" s="32"/>
      <c r="C98" s="32"/>
      <c r="D98" s="32"/>
      <c r="E98" s="32"/>
      <c r="F98" s="32"/>
      <c r="G98" s="32"/>
      <c r="H98" s="32"/>
      <c r="I98" s="32"/>
      <c r="J98" s="32"/>
      <c r="K98" s="32"/>
      <c r="L98" s="32"/>
      <c r="M98" s="32"/>
      <c r="N98" s="32"/>
      <c r="O98" s="32"/>
      <c r="P98" s="32"/>
      <c r="Q98" s="32"/>
    </row>
    <row r="99" spans="1:17" ht="14.25" hidden="1" x14ac:dyDescent="0.2">
      <c r="A99" s="32"/>
      <c r="B99" s="32"/>
      <c r="C99" s="32"/>
      <c r="D99" s="32"/>
      <c r="E99" s="32"/>
      <c r="F99" s="32"/>
      <c r="G99" s="32"/>
      <c r="H99" s="32"/>
      <c r="I99" s="32"/>
      <c r="J99" s="32"/>
      <c r="K99" s="32"/>
      <c r="L99" s="32"/>
      <c r="M99" s="32"/>
      <c r="N99" s="32"/>
      <c r="O99" s="32"/>
      <c r="P99" s="32"/>
      <c r="Q99" s="32"/>
    </row>
    <row r="100" spans="1:17" ht="14.25" hidden="1" x14ac:dyDescent="0.2">
      <c r="A100" s="32"/>
      <c r="B100" s="32"/>
      <c r="C100" s="32"/>
      <c r="D100" s="32"/>
      <c r="E100" s="32"/>
      <c r="F100" s="32"/>
      <c r="G100" s="32"/>
      <c r="H100" s="32"/>
      <c r="I100" s="32"/>
      <c r="J100" s="32"/>
      <c r="K100" s="32"/>
      <c r="L100" s="32"/>
      <c r="M100" s="32"/>
      <c r="N100" s="32"/>
      <c r="O100" s="32"/>
      <c r="P100" s="32"/>
      <c r="Q100" s="32"/>
    </row>
    <row r="101" spans="1:17" ht="14.25" hidden="1" x14ac:dyDescent="0.2">
      <c r="A101" s="32"/>
      <c r="B101" s="32"/>
      <c r="C101" s="32"/>
      <c r="D101" s="32"/>
      <c r="E101" s="32"/>
      <c r="F101" s="32"/>
      <c r="G101" s="32"/>
      <c r="H101" s="32"/>
      <c r="I101" s="32"/>
      <c r="J101" s="32"/>
      <c r="K101" s="32"/>
      <c r="L101" s="32"/>
      <c r="M101" s="32"/>
      <c r="N101" s="32"/>
      <c r="O101" s="32"/>
      <c r="P101" s="32"/>
      <c r="Q101" s="32"/>
    </row>
    <row r="102" spans="1:17" ht="14.25" hidden="1" x14ac:dyDescent="0.2">
      <c r="A102" s="32"/>
      <c r="B102" s="32"/>
      <c r="C102" s="32"/>
      <c r="D102" s="32"/>
      <c r="E102" s="32"/>
      <c r="F102" s="32"/>
      <c r="G102" s="32"/>
      <c r="H102" s="32"/>
      <c r="I102" s="32"/>
      <c r="J102" s="32"/>
      <c r="K102" s="32"/>
      <c r="L102" s="32"/>
      <c r="M102" s="32"/>
      <c r="N102" s="32"/>
      <c r="O102" s="32"/>
      <c r="P102" s="32"/>
      <c r="Q102" s="32"/>
    </row>
    <row r="103" spans="1:17" ht="14.25" hidden="1" x14ac:dyDescent="0.2">
      <c r="A103" s="32"/>
      <c r="B103" s="32"/>
      <c r="C103" s="32"/>
      <c r="D103" s="32"/>
      <c r="E103" s="32"/>
      <c r="F103" s="32"/>
      <c r="G103" s="32"/>
      <c r="H103" s="32"/>
      <c r="I103" s="32"/>
      <c r="J103" s="32"/>
      <c r="K103" s="32"/>
      <c r="L103" s="32"/>
      <c r="M103" s="32"/>
      <c r="N103" s="32"/>
      <c r="O103" s="32"/>
      <c r="P103" s="32"/>
      <c r="Q103" s="32"/>
    </row>
    <row r="104" spans="1:17" ht="14.25" hidden="1" x14ac:dyDescent="0.2">
      <c r="A104" s="32"/>
      <c r="B104" s="32"/>
      <c r="C104" s="32"/>
      <c r="D104" s="32"/>
      <c r="E104" s="32"/>
      <c r="F104" s="32"/>
      <c r="G104" s="32"/>
      <c r="H104" s="32"/>
      <c r="I104" s="32"/>
      <c r="J104" s="32"/>
      <c r="K104" s="32"/>
      <c r="L104" s="32"/>
      <c r="M104" s="32"/>
      <c r="N104" s="32"/>
      <c r="O104" s="32"/>
      <c r="P104" s="32"/>
      <c r="Q104" s="32"/>
    </row>
    <row r="105" spans="1:17" ht="14.25" hidden="1" x14ac:dyDescent="0.2">
      <c r="A105" s="32"/>
      <c r="B105" s="32"/>
      <c r="C105" s="32"/>
      <c r="D105" s="32"/>
      <c r="E105" s="32"/>
      <c r="F105" s="32"/>
      <c r="G105" s="32"/>
      <c r="H105" s="32"/>
      <c r="I105" s="32"/>
      <c r="J105" s="32"/>
      <c r="K105" s="32"/>
      <c r="L105" s="32"/>
      <c r="M105" s="32"/>
      <c r="N105" s="32"/>
      <c r="O105" s="32"/>
      <c r="P105" s="32"/>
      <c r="Q105" s="32"/>
    </row>
    <row r="106" spans="1:17" ht="14.25" hidden="1" x14ac:dyDescent="0.2">
      <c r="A106" s="32"/>
      <c r="B106" s="32"/>
      <c r="C106" s="32"/>
      <c r="D106" s="32"/>
      <c r="E106" s="32"/>
      <c r="F106" s="32"/>
      <c r="G106" s="32"/>
      <c r="H106" s="32"/>
      <c r="I106" s="32"/>
      <c r="J106" s="32"/>
      <c r="K106" s="32"/>
      <c r="L106" s="32"/>
      <c r="M106" s="32"/>
      <c r="N106" s="32"/>
      <c r="O106" s="32"/>
      <c r="P106" s="32"/>
      <c r="Q106" s="32"/>
    </row>
    <row r="107" spans="1:17" ht="14.25" hidden="1" x14ac:dyDescent="0.2">
      <c r="A107" s="32"/>
      <c r="B107" s="32"/>
      <c r="C107" s="32"/>
      <c r="D107" s="32"/>
      <c r="E107" s="32"/>
      <c r="F107" s="32"/>
      <c r="H107" s="32"/>
      <c r="I107" s="32"/>
      <c r="J107" s="32"/>
      <c r="K107" s="32"/>
      <c r="L107" s="32"/>
      <c r="M107" s="32"/>
      <c r="N107" s="32"/>
      <c r="O107" s="32"/>
      <c r="P107" s="32"/>
      <c r="Q107" s="32"/>
    </row>
    <row r="108" spans="1:17" ht="14.25" hidden="1" x14ac:dyDescent="0.2">
      <c r="A108" s="32"/>
      <c r="B108" s="32"/>
      <c r="C108" s="32"/>
      <c r="D108" s="32"/>
      <c r="E108" s="32"/>
      <c r="F108" s="32"/>
      <c r="H108" s="32"/>
      <c r="I108" s="32"/>
      <c r="J108" s="32"/>
      <c r="K108" s="32"/>
      <c r="L108" s="32"/>
      <c r="M108" s="32"/>
      <c r="N108" s="32"/>
      <c r="O108" s="32"/>
      <c r="P108" s="32"/>
      <c r="Q108" s="32"/>
    </row>
    <row r="109" spans="1:17" ht="14.25" hidden="1" x14ac:dyDescent="0.2">
      <c r="A109" s="32"/>
      <c r="B109" s="32"/>
      <c r="C109" s="32"/>
      <c r="D109" s="32"/>
      <c r="E109" s="32"/>
      <c r="F109" s="32"/>
      <c r="H109" s="32"/>
      <c r="I109" s="32"/>
      <c r="J109" s="32"/>
      <c r="K109" s="32"/>
      <c r="L109" s="32"/>
      <c r="M109" s="32"/>
      <c r="N109" s="32"/>
      <c r="O109" s="32"/>
      <c r="P109" s="32"/>
      <c r="Q109" s="32"/>
    </row>
    <row r="110" spans="1:17" ht="14.25" hidden="1" x14ac:dyDescent="0.2">
      <c r="A110" s="32"/>
      <c r="B110" s="32"/>
      <c r="C110" s="32"/>
      <c r="D110" s="32"/>
      <c r="E110" s="32"/>
      <c r="F110" s="32"/>
      <c r="H110" s="32"/>
      <c r="I110" s="32"/>
      <c r="J110" s="32"/>
      <c r="K110" s="32"/>
      <c r="L110" s="32"/>
      <c r="M110" s="32"/>
      <c r="N110" s="32"/>
      <c r="O110" s="32"/>
      <c r="P110" s="32"/>
      <c r="Q110" s="32"/>
    </row>
    <row r="111" spans="1:17" ht="14.25" hidden="1" x14ac:dyDescent="0.2">
      <c r="A111" s="32"/>
      <c r="B111" s="32"/>
      <c r="C111" s="32"/>
      <c r="D111" s="32"/>
      <c r="E111" s="32"/>
      <c r="F111" s="32"/>
      <c r="H111" s="32"/>
      <c r="I111" s="32"/>
      <c r="J111" s="32"/>
      <c r="K111" s="32"/>
      <c r="L111" s="32"/>
      <c r="M111" s="32"/>
      <c r="N111" s="32"/>
      <c r="O111" s="32"/>
      <c r="P111" s="32"/>
      <c r="Q111" s="32"/>
    </row>
    <row r="112" spans="1:17" ht="14.25" hidden="1" x14ac:dyDescent="0.2">
      <c r="A112" s="32"/>
      <c r="B112" s="32"/>
      <c r="C112" s="32"/>
      <c r="D112" s="32"/>
      <c r="E112" s="32"/>
      <c r="F112" s="32"/>
      <c r="H112" s="32"/>
      <c r="I112" s="32"/>
      <c r="J112" s="32"/>
      <c r="K112" s="32"/>
      <c r="L112" s="32"/>
      <c r="M112" s="32"/>
      <c r="N112" s="32"/>
      <c r="O112" s="32"/>
      <c r="P112" s="32"/>
      <c r="Q112" s="32"/>
    </row>
    <row r="113" spans="1:17" ht="14.25" hidden="1" x14ac:dyDescent="0.2">
      <c r="A113" s="32"/>
      <c r="B113" s="32"/>
      <c r="C113" s="32"/>
      <c r="D113" s="32"/>
      <c r="E113" s="32"/>
      <c r="F113" s="32"/>
      <c r="H113" s="32"/>
      <c r="I113" s="32"/>
      <c r="J113" s="32"/>
      <c r="K113" s="32"/>
      <c r="L113" s="32"/>
      <c r="M113" s="32"/>
      <c r="N113" s="32"/>
      <c r="O113" s="32"/>
      <c r="P113" s="32"/>
      <c r="Q113" s="32"/>
    </row>
    <row r="114" spans="1:17" ht="14.25" hidden="1" x14ac:dyDescent="0.2">
      <c r="A114" s="32"/>
      <c r="B114" s="32"/>
      <c r="C114" s="32"/>
      <c r="D114" s="32"/>
      <c r="E114" s="32"/>
      <c r="F114" s="32"/>
      <c r="H114" s="32"/>
      <c r="I114" s="32"/>
      <c r="J114" s="32"/>
      <c r="K114" s="32"/>
      <c r="L114" s="32"/>
      <c r="M114" s="32"/>
      <c r="N114" s="32"/>
      <c r="O114" s="32"/>
      <c r="P114" s="32"/>
      <c r="Q114" s="32"/>
    </row>
    <row r="115" spans="1:17" ht="14.25" hidden="1" x14ac:dyDescent="0.2">
      <c r="A115" s="32"/>
      <c r="B115" s="32"/>
      <c r="C115" s="32"/>
      <c r="D115" s="32"/>
      <c r="E115" s="32"/>
      <c r="F115" s="32"/>
      <c r="H115" s="32"/>
      <c r="I115" s="32"/>
      <c r="J115" s="32"/>
      <c r="K115" s="32"/>
      <c r="L115" s="32"/>
      <c r="M115" s="32"/>
      <c r="N115" s="32"/>
      <c r="O115" s="32"/>
      <c r="P115" s="32"/>
      <c r="Q115" s="32"/>
    </row>
    <row r="116" spans="1:17" ht="14.25" hidden="1" x14ac:dyDescent="0.2">
      <c r="A116" s="32"/>
      <c r="B116" s="32"/>
      <c r="C116" s="32"/>
      <c r="D116" s="32"/>
      <c r="E116" s="32"/>
      <c r="F116" s="32"/>
      <c r="H116" s="32"/>
      <c r="I116" s="32"/>
      <c r="J116" s="32"/>
      <c r="K116" s="32"/>
      <c r="L116" s="32"/>
      <c r="M116" s="32"/>
      <c r="N116" s="32"/>
      <c r="O116" s="32"/>
      <c r="P116" s="32"/>
      <c r="Q116" s="32"/>
    </row>
    <row r="117" spans="1:17" ht="14.25" hidden="1" x14ac:dyDescent="0.2">
      <c r="A117" s="32"/>
      <c r="B117" s="32"/>
      <c r="C117" s="32"/>
      <c r="D117" s="32"/>
      <c r="E117" s="32"/>
      <c r="F117" s="32"/>
      <c r="H117" s="32"/>
      <c r="I117" s="32"/>
      <c r="J117" s="32"/>
      <c r="K117" s="32"/>
      <c r="L117" s="32"/>
      <c r="M117" s="32"/>
      <c r="N117" s="32"/>
      <c r="O117" s="32"/>
      <c r="P117" s="32"/>
      <c r="Q117" s="32"/>
    </row>
    <row r="118" spans="1:17" ht="14.25" hidden="1" x14ac:dyDescent="0.2">
      <c r="A118" s="32"/>
      <c r="B118" s="32"/>
      <c r="C118" s="32"/>
      <c r="D118" s="32"/>
      <c r="E118" s="32"/>
      <c r="F118" s="32"/>
      <c r="H118" s="32"/>
      <c r="I118" s="32"/>
      <c r="J118" s="32"/>
      <c r="K118" s="32"/>
      <c r="L118" s="32"/>
      <c r="M118" s="32"/>
      <c r="N118" s="32"/>
      <c r="O118" s="32"/>
      <c r="P118" s="32"/>
      <c r="Q118" s="32"/>
    </row>
    <row r="119" spans="1:17" ht="14.25" hidden="1" x14ac:dyDescent="0.2">
      <c r="A119" s="32"/>
      <c r="B119" s="32"/>
      <c r="C119" s="32"/>
      <c r="D119" s="32"/>
      <c r="E119" s="32"/>
      <c r="F119" s="32"/>
      <c r="H119" s="32"/>
      <c r="I119" s="32"/>
      <c r="J119" s="32"/>
      <c r="K119" s="32"/>
      <c r="L119" s="32"/>
      <c r="M119" s="32"/>
      <c r="N119" s="32"/>
      <c r="O119" s="32"/>
      <c r="P119" s="32"/>
      <c r="Q119" s="32"/>
    </row>
    <row r="120" spans="1:17" ht="14.25" hidden="1" x14ac:dyDescent="0.2">
      <c r="A120" s="32"/>
      <c r="B120" s="32"/>
      <c r="C120" s="32"/>
      <c r="D120" s="32"/>
      <c r="E120" s="32"/>
      <c r="F120" s="32"/>
      <c r="H120" s="32"/>
      <c r="I120" s="32"/>
      <c r="J120" s="32"/>
      <c r="K120" s="32"/>
      <c r="L120" s="32"/>
      <c r="M120" s="32"/>
      <c r="N120" s="32"/>
      <c r="O120" s="32"/>
      <c r="P120" s="32"/>
      <c r="Q120" s="32"/>
    </row>
    <row r="121" spans="1:17" ht="14.25" hidden="1" x14ac:dyDescent="0.2">
      <c r="A121" s="32"/>
      <c r="B121" s="32"/>
      <c r="C121" s="32"/>
      <c r="D121" s="32"/>
      <c r="E121" s="32"/>
      <c r="F121" s="32"/>
      <c r="H121" s="32"/>
      <c r="I121" s="32"/>
      <c r="J121" s="32"/>
      <c r="K121" s="32"/>
      <c r="L121" s="32"/>
      <c r="M121" s="32"/>
      <c r="N121" s="32"/>
      <c r="O121" s="32"/>
      <c r="P121" s="32"/>
      <c r="Q121" s="32"/>
    </row>
    <row r="122" spans="1:17" ht="14.25" hidden="1" x14ac:dyDescent="0.2">
      <c r="A122" s="32"/>
      <c r="B122" s="32"/>
      <c r="C122" s="32"/>
      <c r="D122" s="32"/>
      <c r="E122" s="32"/>
      <c r="F122" s="32"/>
      <c r="H122" s="32"/>
      <c r="I122" s="32"/>
      <c r="J122" s="32"/>
      <c r="K122" s="32"/>
      <c r="L122" s="32"/>
      <c r="M122" s="32"/>
      <c r="N122" s="32"/>
      <c r="O122" s="32"/>
      <c r="P122" s="32"/>
      <c r="Q122" s="32"/>
    </row>
    <row r="123" spans="1:17" ht="14.25" hidden="1" x14ac:dyDescent="0.2">
      <c r="A123" s="32"/>
      <c r="B123" s="32"/>
      <c r="C123" s="32"/>
      <c r="D123" s="32"/>
      <c r="E123" s="32"/>
      <c r="F123" s="32"/>
      <c r="H123" s="32"/>
      <c r="I123" s="32"/>
      <c r="J123" s="32"/>
      <c r="K123" s="32"/>
      <c r="L123" s="32"/>
      <c r="M123" s="32"/>
      <c r="N123" s="32"/>
      <c r="O123" s="32"/>
      <c r="P123" s="32"/>
      <c r="Q123" s="32"/>
    </row>
    <row r="124" spans="1:17" ht="14.25" hidden="1" x14ac:dyDescent="0.2">
      <c r="A124" s="32"/>
      <c r="B124" s="32"/>
      <c r="C124" s="32"/>
      <c r="D124" s="32"/>
      <c r="E124" s="32"/>
      <c r="F124" s="32"/>
      <c r="H124" s="32"/>
      <c r="I124" s="32"/>
      <c r="J124" s="32"/>
      <c r="K124" s="32"/>
      <c r="L124" s="32"/>
      <c r="M124" s="32"/>
      <c r="N124" s="32"/>
      <c r="O124" s="32"/>
      <c r="P124" s="32"/>
      <c r="Q124" s="32"/>
    </row>
    <row r="125" spans="1:17" ht="14.25" hidden="1" x14ac:dyDescent="0.2">
      <c r="A125" s="32"/>
      <c r="B125" s="32"/>
      <c r="C125" s="32"/>
      <c r="D125" s="32"/>
      <c r="E125" s="32"/>
      <c r="F125" s="32"/>
      <c r="H125" s="32"/>
      <c r="I125" s="32"/>
      <c r="J125" s="32"/>
      <c r="K125" s="32"/>
      <c r="L125" s="32"/>
      <c r="M125" s="32"/>
      <c r="N125" s="32"/>
      <c r="O125" s="32"/>
      <c r="P125" s="32"/>
      <c r="Q125" s="32"/>
    </row>
    <row r="126" spans="1:17" ht="14.25" hidden="1" x14ac:dyDescent="0.2">
      <c r="A126" s="32"/>
      <c r="B126" s="32"/>
      <c r="C126" s="32"/>
      <c r="D126" s="32"/>
      <c r="E126" s="32"/>
      <c r="F126" s="32"/>
      <c r="H126" s="32"/>
      <c r="I126" s="32"/>
      <c r="J126" s="32"/>
      <c r="K126" s="32"/>
      <c r="L126" s="32"/>
      <c r="M126" s="32"/>
      <c r="N126" s="32"/>
      <c r="O126" s="32"/>
      <c r="P126" s="32"/>
      <c r="Q126" s="32"/>
    </row>
    <row r="127" spans="1:17" ht="14.25" hidden="1" x14ac:dyDescent="0.2">
      <c r="A127" s="32"/>
      <c r="B127" s="32"/>
      <c r="C127" s="32"/>
      <c r="D127" s="32"/>
      <c r="E127" s="32"/>
      <c r="F127" s="32"/>
      <c r="H127" s="32"/>
      <c r="I127" s="32"/>
      <c r="J127" s="32"/>
      <c r="K127" s="32"/>
      <c r="L127" s="32"/>
      <c r="M127" s="32"/>
      <c r="N127" s="32"/>
      <c r="O127" s="32"/>
      <c r="P127" s="32"/>
      <c r="Q127" s="32"/>
    </row>
    <row r="128" spans="1:17" ht="14.25" hidden="1" x14ac:dyDescent="0.2">
      <c r="A128" s="32"/>
      <c r="B128" s="32"/>
      <c r="C128" s="32"/>
      <c r="D128" s="32"/>
      <c r="E128" s="32"/>
      <c r="F128" s="32"/>
      <c r="H128" s="32"/>
      <c r="I128" s="32"/>
      <c r="J128" s="32"/>
      <c r="K128" s="32"/>
      <c r="L128" s="32"/>
      <c r="M128" s="32"/>
      <c r="N128" s="32"/>
      <c r="O128" s="32"/>
      <c r="P128" s="32"/>
      <c r="Q128" s="32"/>
    </row>
    <row r="129" spans="1:17" ht="14.25" hidden="1" x14ac:dyDescent="0.2">
      <c r="A129" s="32"/>
      <c r="B129" s="32"/>
      <c r="C129" s="32"/>
      <c r="D129" s="32"/>
      <c r="E129" s="32"/>
      <c r="F129" s="32"/>
      <c r="H129" s="32"/>
      <c r="I129" s="32"/>
      <c r="J129" s="32"/>
      <c r="K129" s="32"/>
      <c r="L129" s="32"/>
      <c r="M129" s="32"/>
      <c r="N129" s="32"/>
      <c r="O129" s="32"/>
      <c r="P129" s="32"/>
      <c r="Q129" s="32"/>
    </row>
    <row r="130" spans="1:17" ht="14.25" hidden="1" x14ac:dyDescent="0.2">
      <c r="A130" s="32"/>
      <c r="B130" s="32"/>
      <c r="C130" s="32"/>
      <c r="D130" s="32"/>
      <c r="E130" s="32"/>
      <c r="F130" s="32"/>
      <c r="H130" s="32"/>
      <c r="I130" s="32"/>
      <c r="J130" s="32"/>
      <c r="K130" s="32"/>
      <c r="L130" s="32"/>
      <c r="M130" s="32"/>
      <c r="N130" s="32"/>
      <c r="O130" s="32"/>
      <c r="P130" s="32"/>
      <c r="Q130" s="32"/>
    </row>
    <row r="131" spans="1:17" ht="14.25" hidden="1" x14ac:dyDescent="0.2">
      <c r="A131" s="32"/>
      <c r="B131" s="32"/>
      <c r="C131" s="32"/>
      <c r="D131" s="32"/>
      <c r="E131" s="32"/>
      <c r="F131" s="32"/>
      <c r="H131" s="32"/>
      <c r="K131" s="32"/>
      <c r="L131" s="32"/>
      <c r="M131" s="32"/>
      <c r="N131" s="32"/>
      <c r="O131" s="32"/>
      <c r="P131" s="32"/>
      <c r="Q131" s="32"/>
    </row>
    <row r="132" spans="1:17" ht="14.25" hidden="1" x14ac:dyDescent="0.2">
      <c r="A132" s="32"/>
      <c r="B132" s="32"/>
      <c r="C132" s="32"/>
      <c r="D132" s="32"/>
      <c r="E132" s="32"/>
      <c r="F132" s="32"/>
      <c r="H132" s="32"/>
      <c r="K132" s="32"/>
      <c r="L132" s="32"/>
      <c r="M132" s="32"/>
      <c r="N132" s="32"/>
      <c r="O132" s="32"/>
      <c r="P132" s="32"/>
      <c r="Q132" s="32"/>
    </row>
    <row r="133" spans="1:17" ht="14.25" hidden="1" x14ac:dyDescent="0.2">
      <c r="A133" s="32"/>
      <c r="B133" s="32"/>
      <c r="C133" s="32"/>
      <c r="D133" s="32"/>
      <c r="E133" s="32"/>
      <c r="F133" s="32"/>
      <c r="H133" s="32"/>
      <c r="K133" s="32"/>
      <c r="L133" s="32"/>
      <c r="M133" s="32"/>
      <c r="N133" s="32"/>
      <c r="O133" s="32"/>
      <c r="P133" s="32"/>
      <c r="Q133" s="32"/>
    </row>
    <row r="134" spans="1:17" ht="14.25" hidden="1" x14ac:dyDescent="0.2">
      <c r="A134" s="32"/>
      <c r="B134" s="32"/>
      <c r="C134" s="32"/>
      <c r="D134" s="32"/>
      <c r="E134" s="32"/>
      <c r="F134" s="32"/>
      <c r="H134" s="32"/>
      <c r="K134" s="32"/>
      <c r="L134" s="32"/>
      <c r="M134" s="32"/>
      <c r="N134" s="32"/>
      <c r="O134" s="32"/>
      <c r="P134" s="32"/>
      <c r="Q134" s="32"/>
    </row>
    <row r="135" spans="1:17" ht="14.25" hidden="1" x14ac:dyDescent="0.2">
      <c r="A135" s="32"/>
      <c r="B135" s="32"/>
      <c r="C135" s="32"/>
      <c r="D135" s="32"/>
      <c r="E135" s="32"/>
      <c r="F135" s="32"/>
      <c r="H135" s="32"/>
      <c r="K135" s="32"/>
      <c r="L135" s="32"/>
      <c r="M135" s="32"/>
      <c r="N135" s="32"/>
      <c r="O135" s="32"/>
      <c r="P135" s="32"/>
      <c r="Q135" s="32"/>
    </row>
    <row r="136" spans="1:17" ht="14.25" hidden="1" x14ac:dyDescent="0.2">
      <c r="A136" s="32"/>
      <c r="B136" s="32"/>
      <c r="C136" s="32"/>
      <c r="D136" s="32"/>
      <c r="E136" s="32"/>
      <c r="F136" s="32"/>
      <c r="H136" s="32"/>
      <c r="K136" s="32"/>
      <c r="L136" s="32"/>
      <c r="M136" s="32"/>
      <c r="N136" s="32"/>
      <c r="O136" s="32"/>
      <c r="P136" s="32"/>
      <c r="Q136" s="32"/>
    </row>
    <row r="137" spans="1:17" ht="14.25" hidden="1" x14ac:dyDescent="0.2">
      <c r="A137" s="32"/>
      <c r="B137" s="32"/>
      <c r="C137" s="32"/>
      <c r="D137" s="32"/>
      <c r="E137" s="32"/>
      <c r="F137" s="32"/>
      <c r="H137" s="32"/>
      <c r="K137" s="32"/>
      <c r="L137" s="32"/>
      <c r="M137" s="32"/>
      <c r="N137" s="32"/>
      <c r="O137" s="32"/>
      <c r="P137" s="32"/>
      <c r="Q137" s="32"/>
    </row>
    <row r="138" spans="1:17" ht="14.25" hidden="1" x14ac:dyDescent="0.2">
      <c r="A138" s="32"/>
      <c r="B138" s="32"/>
      <c r="C138" s="32"/>
      <c r="D138" s="32"/>
      <c r="E138" s="32"/>
      <c r="F138" s="32"/>
      <c r="H138" s="32"/>
      <c r="K138" s="32"/>
      <c r="L138" s="32"/>
      <c r="M138" s="32"/>
      <c r="N138" s="32"/>
      <c r="O138" s="32"/>
      <c r="P138" s="32"/>
      <c r="Q138" s="32"/>
    </row>
    <row r="139" spans="1:17" ht="14.25" hidden="1" x14ac:dyDescent="0.2">
      <c r="A139" s="32"/>
      <c r="B139" s="32"/>
      <c r="C139" s="32"/>
      <c r="D139" s="32"/>
      <c r="E139" s="32"/>
      <c r="F139" s="32"/>
      <c r="H139" s="32"/>
      <c r="K139" s="32"/>
      <c r="L139" s="32"/>
      <c r="M139" s="32"/>
      <c r="N139" s="32"/>
      <c r="O139" s="32"/>
      <c r="P139" s="32"/>
      <c r="Q139" s="32"/>
    </row>
    <row r="140" spans="1:17" ht="14.25" hidden="1" x14ac:dyDescent="0.2">
      <c r="A140" s="32"/>
      <c r="B140" s="32"/>
      <c r="C140" s="32"/>
      <c r="D140" s="32"/>
      <c r="E140" s="32"/>
      <c r="F140" s="32"/>
      <c r="H140" s="32"/>
      <c r="K140" s="32"/>
      <c r="L140" s="32"/>
      <c r="M140" s="32"/>
      <c r="N140" s="32"/>
      <c r="O140" s="32"/>
      <c r="P140" s="32"/>
      <c r="Q140" s="32"/>
    </row>
    <row r="141" spans="1:17" ht="14.25" hidden="1" x14ac:dyDescent="0.2">
      <c r="A141" s="32"/>
      <c r="B141" s="32"/>
      <c r="C141" s="32"/>
      <c r="D141" s="32"/>
      <c r="E141" s="32"/>
      <c r="F141" s="32"/>
      <c r="H141" s="32"/>
      <c r="K141" s="32"/>
      <c r="L141" s="32"/>
      <c r="M141" s="32"/>
      <c r="N141" s="32"/>
      <c r="O141" s="32"/>
      <c r="P141" s="32"/>
      <c r="Q141" s="32"/>
    </row>
    <row r="142" spans="1:17" ht="14.25" hidden="1" x14ac:dyDescent="0.2">
      <c r="A142" s="32"/>
      <c r="B142" s="32"/>
      <c r="C142" s="32"/>
      <c r="D142" s="32"/>
      <c r="E142" s="32"/>
      <c r="F142" s="32"/>
      <c r="H142" s="32"/>
      <c r="K142" s="32"/>
      <c r="L142" s="32"/>
      <c r="M142" s="32"/>
      <c r="N142" s="32"/>
      <c r="O142" s="32"/>
      <c r="P142" s="32"/>
      <c r="Q142" s="32"/>
    </row>
    <row r="143" spans="1:17" ht="14.25" hidden="1" x14ac:dyDescent="0.2">
      <c r="A143" s="32"/>
      <c r="B143" s="32"/>
      <c r="C143" s="32"/>
      <c r="D143" s="32"/>
      <c r="E143" s="32"/>
      <c r="F143" s="32"/>
      <c r="H143" s="32"/>
      <c r="K143" s="32"/>
      <c r="L143" s="32"/>
      <c r="M143" s="32"/>
      <c r="N143" s="32"/>
      <c r="O143" s="32"/>
      <c r="P143" s="32"/>
      <c r="Q143" s="32"/>
    </row>
    <row r="144" spans="1:17" ht="14.25" hidden="1" x14ac:dyDescent="0.2">
      <c r="A144" s="32"/>
    </row>
    <row r="145" spans="1:1" ht="14.25" hidden="1" x14ac:dyDescent="0.2">
      <c r="A145" s="32"/>
    </row>
    <row r="146" spans="1:1" ht="14.25" hidden="1" x14ac:dyDescent="0.2">
      <c r="A146" s="32"/>
    </row>
    <row r="147" spans="1:1" ht="14.25" hidden="1" x14ac:dyDescent="0.2">
      <c r="A147" s="32"/>
    </row>
    <row r="148" spans="1:1" ht="14.25" hidden="1" x14ac:dyDescent="0.2">
      <c r="A148" s="32"/>
    </row>
    <row r="149" spans="1:1" ht="14.25" hidden="1" x14ac:dyDescent="0.2">
      <c r="A149" s="32"/>
    </row>
    <row r="150" spans="1:1" ht="14.25" hidden="1" x14ac:dyDescent="0.2">
      <c r="A150" s="32"/>
    </row>
    <row r="151" spans="1:1" ht="14.25" hidden="1" x14ac:dyDescent="0.2">
      <c r="A151" s="32"/>
    </row>
    <row r="152" spans="1:1" ht="14.25" hidden="1" x14ac:dyDescent="0.2">
      <c r="A152" s="32"/>
    </row>
    <row r="153" spans="1:1" ht="14.25" hidden="1" x14ac:dyDescent="0.2">
      <c r="A153" s="32"/>
    </row>
    <row r="154" spans="1:1" ht="14.25" hidden="1" x14ac:dyDescent="0.2">
      <c r="A154" s="32"/>
    </row>
    <row r="155" spans="1:1" ht="14.25" hidden="1" x14ac:dyDescent="0.2">
      <c r="A155" s="32"/>
    </row>
    <row r="156" spans="1:1" ht="14.25" hidden="1" x14ac:dyDescent="0.2">
      <c r="A156" s="32"/>
    </row>
    <row r="157" spans="1:1" ht="14.25" hidden="1" x14ac:dyDescent="0.2">
      <c r="A157" s="32"/>
    </row>
    <row r="158" spans="1:1" ht="14.25" hidden="1" x14ac:dyDescent="0.2">
      <c r="A158" s="32"/>
    </row>
    <row r="159" spans="1:1" ht="14.25" hidden="1" x14ac:dyDescent="0.2">
      <c r="A159" s="32"/>
    </row>
    <row r="160" spans="1:1" ht="14.25" hidden="1" x14ac:dyDescent="0.2">
      <c r="A160" s="32"/>
    </row>
    <row r="161" spans="1:1" ht="14.25" hidden="1" x14ac:dyDescent="0.2">
      <c r="A161" s="32"/>
    </row>
    <row r="162" spans="1:1" ht="14.25" hidden="1" x14ac:dyDescent="0.2">
      <c r="A162" s="32"/>
    </row>
    <row r="163" spans="1:1" ht="14.25" hidden="1" x14ac:dyDescent="0.2">
      <c r="A163" s="32"/>
    </row>
    <row r="164" spans="1:1" ht="14.25" hidden="1" x14ac:dyDescent="0.2">
      <c r="A164" s="32"/>
    </row>
    <row r="165" spans="1:1" ht="14.25" hidden="1" x14ac:dyDescent="0.2">
      <c r="A165" s="32"/>
    </row>
    <row r="166" spans="1:1" ht="14.25" hidden="1" x14ac:dyDescent="0.2">
      <c r="A166" s="32"/>
    </row>
    <row r="167" spans="1:1" ht="14.25" hidden="1" x14ac:dyDescent="0.2">
      <c r="A167" s="32"/>
    </row>
    <row r="168" spans="1:1" ht="14.25" hidden="1" x14ac:dyDescent="0.2">
      <c r="A168" s="32"/>
    </row>
    <row r="169" spans="1:1" ht="14.25" hidden="1" x14ac:dyDescent="0.2">
      <c r="A169" s="32"/>
    </row>
    <row r="170" spans="1:1" ht="14.25" hidden="1" x14ac:dyDescent="0.2">
      <c r="A170" s="32"/>
    </row>
    <row r="171" spans="1:1" ht="14.25" hidden="1" x14ac:dyDescent="0.2">
      <c r="A171" s="32"/>
    </row>
    <row r="172" spans="1:1" ht="14.25" hidden="1" x14ac:dyDescent="0.2">
      <c r="A172" s="32"/>
    </row>
    <row r="173" spans="1:1" ht="14.25" hidden="1" x14ac:dyDescent="0.2">
      <c r="A173" s="32"/>
    </row>
    <row r="174" spans="1:1" ht="14.25" hidden="1" x14ac:dyDescent="0.2">
      <c r="A174" s="32"/>
    </row>
    <row r="175" spans="1:1" ht="14.25" hidden="1" x14ac:dyDescent="0.2">
      <c r="A175" s="32"/>
    </row>
    <row r="176" spans="1:1" ht="14.25" hidden="1" x14ac:dyDescent="0.2">
      <c r="A176" s="32"/>
    </row>
    <row r="177" spans="1:1" ht="14.25" hidden="1" x14ac:dyDescent="0.2">
      <c r="A177" s="32"/>
    </row>
    <row r="178" spans="1:1" ht="14.25" hidden="1" x14ac:dyDescent="0.2">
      <c r="A178" s="32"/>
    </row>
    <row r="179" spans="1:1" ht="14.25" hidden="1" x14ac:dyDescent="0.2">
      <c r="A179" s="32"/>
    </row>
    <row r="180" spans="1:1" ht="14.25" hidden="1" x14ac:dyDescent="0.2">
      <c r="A180" s="32"/>
    </row>
    <row r="181" spans="1:1" ht="14.25" hidden="1" x14ac:dyDescent="0.2">
      <c r="A181" s="32"/>
    </row>
    <row r="182" spans="1:1" ht="14.25" hidden="1" x14ac:dyDescent="0.2">
      <c r="A182" s="32"/>
    </row>
    <row r="183" spans="1:1" ht="14.25" hidden="1" x14ac:dyDescent="0.2">
      <c r="A183" s="32"/>
    </row>
    <row r="184" spans="1:1" ht="14.25" x14ac:dyDescent="0.2"/>
    <row r="185" spans="1:1" ht="14.25" x14ac:dyDescent="0.2"/>
    <row r="186" spans="1:1" ht="14.25" x14ac:dyDescent="0.2"/>
    <row r="187" spans="1:1" ht="14.25" x14ac:dyDescent="0.2"/>
    <row r="188" spans="1:1" ht="14.25" x14ac:dyDescent="0.2"/>
    <row r="189" spans="1:1" ht="14.25" x14ac:dyDescent="0.2"/>
    <row r="190" spans="1:1" ht="14.25" x14ac:dyDescent="0.2"/>
    <row r="191" spans="1:1" ht="14.25" x14ac:dyDescent="0.2"/>
    <row r="192" spans="1:1" ht="14.1" customHeight="1" x14ac:dyDescent="0.2"/>
    <row r="193" ht="14.1" customHeight="1" x14ac:dyDescent="0.2"/>
    <row r="194" ht="14.1" customHeight="1" x14ac:dyDescent="0.2"/>
    <row r="195" ht="14.1" customHeight="1" x14ac:dyDescent="0.2"/>
    <row r="196" ht="14.1" customHeight="1" x14ac:dyDescent="0.2"/>
    <row r="197" ht="14.1" customHeight="1" x14ac:dyDescent="0.2"/>
    <row r="198" ht="14.1" customHeight="1" x14ac:dyDescent="0.2"/>
    <row r="199" ht="14.1" customHeight="1" x14ac:dyDescent="0.2"/>
    <row r="200" ht="14.1" customHeight="1" x14ac:dyDescent="0.2"/>
    <row r="201" ht="14.1" customHeight="1" x14ac:dyDescent="0.2"/>
    <row r="202" ht="14.1" customHeight="1" x14ac:dyDescent="0.2"/>
    <row r="203" ht="14.1" customHeight="1" x14ac:dyDescent="0.2"/>
    <row r="204" ht="14.1" customHeight="1" x14ac:dyDescent="0.2"/>
    <row r="205" ht="14.1" customHeight="1" x14ac:dyDescent="0.2"/>
    <row r="206" ht="14.1" customHeight="1" x14ac:dyDescent="0.2"/>
    <row r="207" ht="14.1" customHeight="1" x14ac:dyDescent="0.2"/>
    <row r="208" ht="14.1" customHeight="1" x14ac:dyDescent="0.2"/>
    <row r="209" ht="14.1" customHeight="1" x14ac:dyDescent="0.2"/>
    <row r="210" ht="14.1" customHeight="1" x14ac:dyDescent="0.2"/>
    <row r="211" ht="14.1" customHeight="1" x14ac:dyDescent="0.2"/>
    <row r="212" ht="14.1" customHeight="1" x14ac:dyDescent="0.2"/>
    <row r="213" ht="14.1" customHeight="1" x14ac:dyDescent="0.2"/>
    <row r="214" ht="14.1" customHeight="1" x14ac:dyDescent="0.2"/>
    <row r="215" ht="14.1" customHeight="1" x14ac:dyDescent="0.2"/>
    <row r="216" ht="14.1" customHeight="1" x14ac:dyDescent="0.2"/>
    <row r="217" ht="14.1" customHeight="1" x14ac:dyDescent="0.2"/>
    <row r="218" ht="14.1" customHeight="1" x14ac:dyDescent="0.2"/>
    <row r="219" ht="14.1" customHeight="1" x14ac:dyDescent="0.2"/>
    <row r="220" ht="14.1" customHeight="1" x14ac:dyDescent="0.2"/>
    <row r="221" ht="14.1" customHeight="1" x14ac:dyDescent="0.2"/>
    <row r="222" ht="14.1" customHeight="1" x14ac:dyDescent="0.2"/>
    <row r="223" ht="14.1" customHeight="1" x14ac:dyDescent="0.2"/>
    <row r="224" ht="14.1" customHeight="1" x14ac:dyDescent="0.2"/>
    <row r="225" ht="14.1" customHeight="1" x14ac:dyDescent="0.2"/>
    <row r="226" ht="14.1" customHeight="1" x14ac:dyDescent="0.2"/>
    <row r="227" ht="14.1" customHeight="1" x14ac:dyDescent="0.2"/>
    <row r="228" ht="14.1" customHeight="1" x14ac:dyDescent="0.2"/>
    <row r="229" ht="14.1" customHeight="1" x14ac:dyDescent="0.2"/>
    <row r="230" ht="14.1" customHeight="1" x14ac:dyDescent="0.2"/>
    <row r="231" ht="14.1" customHeight="1" x14ac:dyDescent="0.2"/>
    <row r="232" ht="14.1" customHeight="1" x14ac:dyDescent="0.2"/>
    <row r="233" ht="14.1" customHeight="1" x14ac:dyDescent="0.2"/>
    <row r="234" ht="14.1" customHeight="1" x14ac:dyDescent="0.2"/>
    <row r="235" ht="14.1" customHeight="1" x14ac:dyDescent="0.2"/>
    <row r="236" ht="14.1" customHeight="1" x14ac:dyDescent="0.2"/>
    <row r="237" ht="14.1" customHeight="1" x14ac:dyDescent="0.2"/>
    <row r="238" ht="14.1" customHeight="1" x14ac:dyDescent="0.2"/>
    <row r="239" ht="14.1" customHeight="1" x14ac:dyDescent="0.2"/>
    <row r="240" ht="14.1" customHeight="1" x14ac:dyDescent="0.2"/>
    <row r="241" ht="14.1" customHeight="1" x14ac:dyDescent="0.2"/>
    <row r="242" ht="14.1" customHeight="1" x14ac:dyDescent="0.2"/>
    <row r="243" ht="14.1" customHeight="1" x14ac:dyDescent="0.2"/>
    <row r="244" ht="14.1" customHeight="1" x14ac:dyDescent="0.2"/>
    <row r="245" ht="14.1" customHeight="1" x14ac:dyDescent="0.2"/>
    <row r="246" ht="14.1" customHeight="1" x14ac:dyDescent="0.2"/>
    <row r="247" ht="14.1" customHeight="1" x14ac:dyDescent="0.2"/>
    <row r="248" ht="14.1" customHeight="1" x14ac:dyDescent="0.2"/>
    <row r="249" ht="14.1" customHeight="1" x14ac:dyDescent="0.2"/>
    <row r="250" ht="14.1" customHeight="1" x14ac:dyDescent="0.2"/>
    <row r="251" ht="14.1" customHeight="1" x14ac:dyDescent="0.2"/>
    <row r="252" ht="14.1" customHeight="1" x14ac:dyDescent="0.2"/>
    <row r="253" ht="14.1" customHeight="1" x14ac:dyDescent="0.2"/>
    <row r="254" ht="14.1" customHeight="1" x14ac:dyDescent="0.2"/>
    <row r="255" ht="14.1" customHeight="1" x14ac:dyDescent="0.2"/>
    <row r="256" ht="14.1" customHeight="1" x14ac:dyDescent="0.2"/>
    <row r="257" ht="14.1" customHeight="1" x14ac:dyDescent="0.2"/>
    <row r="258" ht="14.1" customHeight="1" x14ac:dyDescent="0.2"/>
    <row r="259" ht="14.1" customHeight="1" x14ac:dyDescent="0.2"/>
    <row r="260" ht="14.1" customHeight="1" x14ac:dyDescent="0.2"/>
    <row r="261" ht="14.1" customHeight="1" x14ac:dyDescent="0.2"/>
    <row r="262" ht="14.1" customHeight="1" x14ac:dyDescent="0.2"/>
    <row r="263" ht="14.1" customHeight="1" x14ac:dyDescent="0.2"/>
    <row r="264" ht="14.1" customHeight="1" x14ac:dyDescent="0.2"/>
    <row r="265" ht="14.1" customHeight="1" x14ac:dyDescent="0.2"/>
    <row r="266" ht="14.1" customHeight="1" x14ac:dyDescent="0.2"/>
    <row r="267" ht="14.1" customHeight="1" x14ac:dyDescent="0.2"/>
    <row r="268" ht="14.1" customHeight="1" x14ac:dyDescent="0.2"/>
    <row r="269" ht="14.1" customHeight="1" x14ac:dyDescent="0.2"/>
    <row r="270" ht="14.1" customHeight="1" x14ac:dyDescent="0.2"/>
    <row r="271" ht="14.1" customHeight="1" x14ac:dyDescent="0.2"/>
    <row r="272" ht="14.1" customHeight="1" x14ac:dyDescent="0.2"/>
    <row r="273" ht="14.1" customHeight="1" x14ac:dyDescent="0.2"/>
    <row r="274" ht="14.1" customHeight="1" x14ac:dyDescent="0.2"/>
    <row r="275" ht="14.1" customHeight="1" x14ac:dyDescent="0.2"/>
    <row r="276" ht="14.1" customHeight="1" x14ac:dyDescent="0.2"/>
    <row r="277" ht="14.1" customHeight="1" x14ac:dyDescent="0.2"/>
    <row r="278" ht="14.1" customHeight="1" x14ac:dyDescent="0.2"/>
    <row r="279" ht="14.1" customHeight="1" x14ac:dyDescent="0.2"/>
    <row r="280" ht="14.1" customHeight="1" x14ac:dyDescent="0.2"/>
    <row r="281" ht="14.1" customHeight="1" x14ac:dyDescent="0.2"/>
    <row r="282" ht="14.1" customHeight="1" x14ac:dyDescent="0.2"/>
    <row r="283" ht="14.1" customHeight="1" x14ac:dyDescent="0.2"/>
    <row r="284" ht="14.1" customHeight="1" x14ac:dyDescent="0.2"/>
    <row r="285" ht="14.1" customHeight="1" x14ac:dyDescent="0.2"/>
    <row r="286" ht="14.1" customHeight="1" x14ac:dyDescent="0.2"/>
    <row r="287" ht="14.1" customHeight="1" x14ac:dyDescent="0.2"/>
    <row r="288" ht="14.1" customHeight="1" x14ac:dyDescent="0.2"/>
    <row r="289" ht="14.1" customHeight="1" x14ac:dyDescent="0.2"/>
    <row r="290" ht="14.1" customHeight="1" x14ac:dyDescent="0.2"/>
    <row r="291" ht="14.1" customHeight="1" x14ac:dyDescent="0.2"/>
    <row r="292" ht="14.1" customHeight="1" x14ac:dyDescent="0.2"/>
    <row r="293" ht="14.1" customHeight="1" x14ac:dyDescent="0.2"/>
    <row r="294" ht="14.1" customHeight="1" x14ac:dyDescent="0.2"/>
    <row r="295" ht="14.1" customHeight="1" x14ac:dyDescent="0.2"/>
    <row r="296" ht="14.1" customHeight="1" x14ac:dyDescent="0.2"/>
    <row r="297" ht="14.1" customHeight="1" x14ac:dyDescent="0.2"/>
    <row r="298" ht="14.1" customHeight="1" x14ac:dyDescent="0.2"/>
    <row r="299" ht="14.1" customHeight="1" x14ac:dyDescent="0.2"/>
    <row r="300" ht="14.1" customHeight="1" x14ac:dyDescent="0.2"/>
    <row r="301" ht="14.1" customHeight="1" x14ac:dyDescent="0.2"/>
    <row r="302" ht="14.1" customHeight="1" x14ac:dyDescent="0.2"/>
    <row r="303" ht="14.1" customHeight="1" x14ac:dyDescent="0.2"/>
    <row r="304" ht="14.1" customHeight="1" x14ac:dyDescent="0.2"/>
    <row r="305" ht="14.1" customHeight="1" x14ac:dyDescent="0.2"/>
    <row r="306" ht="14.1" customHeight="1" x14ac:dyDescent="0.2"/>
  </sheetData>
  <sheetProtection algorithmName="SHA-512" hashValue="C2zIs5AAtx1cDYTt2p88Erh6MuHY5M7sxqKS+hX86Lhf3aEOs++HNONPahO6I8q09dFRKjTa3YYV+biYGn9X7Q==" saltValue="2GJ/RN2LLAYsBjK3fxbp0A=="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B32 B43">
    <cfRule type="expression" dxfId="551" priority="359">
      <formula>#REF!&gt;0</formula>
    </cfRule>
    <cfRule type="expression" dxfId="550" priority="360">
      <formula>#REF!&lt;0</formula>
    </cfRule>
  </conditionalFormatting>
  <conditionalFormatting sqref="B13:E13">
    <cfRule type="expression" dxfId="549" priority="365">
      <formula>$E13&gt;0</formula>
    </cfRule>
    <cfRule type="expression" dxfId="548" priority="366">
      <formula>$E13&lt;0</formula>
    </cfRule>
  </conditionalFormatting>
  <conditionalFormatting sqref="B22:E22 B30:E31 B42:E42">
    <cfRule type="expression" dxfId="547" priority="367">
      <formula>$E22&gt;0</formula>
    </cfRule>
    <cfRule type="expression" dxfId="546" priority="368">
      <formula>$E22&lt;0</formula>
    </cfRule>
  </conditionalFormatting>
  <conditionalFormatting sqref="G5:G8">
    <cfRule type="containsText" dxfId="545" priority="22" operator="containsText" text="Yes">
      <formula>NOT(ISERROR(SEARCH("Yes",G5)))</formula>
    </cfRule>
    <cfRule type="containsText" dxfId="544" priority="23" operator="containsText" text="No">
      <formula>NOT(ISERROR(SEARCH("No",G5)))</formula>
    </cfRule>
  </conditionalFormatting>
  <conditionalFormatting sqref="H12">
    <cfRule type="cellIs" dxfId="543" priority="24" operator="greaterThan">
      <formula>0</formula>
    </cfRule>
    <cfRule type="cellIs" dxfId="542" priority="25" operator="lessThan">
      <formula>0</formula>
    </cfRule>
  </conditionalFormatting>
  <conditionalFormatting sqref="H21:H22">
    <cfRule type="cellIs" dxfId="541" priority="18" operator="greaterThan">
      <formula>0</formula>
    </cfRule>
    <cfRule type="cellIs" dxfId="540" priority="20" operator="lessThan">
      <formula>0</formula>
    </cfRule>
  </conditionalFormatting>
  <conditionalFormatting sqref="H29 H41:H42">
    <cfRule type="cellIs" dxfId="539" priority="17" operator="greaterThan">
      <formula>0</formula>
    </cfRule>
  </conditionalFormatting>
  <conditionalFormatting sqref="H29:H30">
    <cfRule type="cellIs" dxfId="538" priority="15" operator="lessThan">
      <formula>0</formula>
    </cfRule>
  </conditionalFormatting>
  <conditionalFormatting sqref="H41:H42">
    <cfRule type="cellIs" dxfId="537" priority="16" operator="lessThan">
      <formula>0</formula>
    </cfRule>
  </conditionalFormatting>
  <conditionalFormatting sqref="I13:J13">
    <cfRule type="containsText" dxfId="536" priority="8" operator="containsText" text="Very high distinctiveness unit defecit - CHECK DATA">
      <formula>NOT(ISERROR(SEARCH("Very high distinctiveness unit defecit - CHECK DATA",I13)))</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heetViews>
  <sheetFormatPr defaultColWidth="8.7109375" defaultRowHeight="15" x14ac:dyDescent="0.25"/>
  <cols>
    <col min="1" max="1" width="8.7109375" style="757"/>
    <col min="2" max="2" width="10" style="1" customWidth="1"/>
    <col min="3" max="3" width="14.28515625" style="1" customWidth="1"/>
    <col min="4" max="9" width="8.7109375" style="1"/>
    <col min="10" max="10" width="23.28515625" style="1" customWidth="1"/>
    <col min="11" max="11" width="12.140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140625" style="1" customWidth="1"/>
    <col min="18" max="18" width="15.140625" style="1" customWidth="1"/>
    <col min="19" max="19" width="21.140625" style="1" customWidth="1"/>
    <col min="20" max="20" width="10.42578125" style="1" customWidth="1"/>
    <col min="21" max="21" width="24.42578125" style="1" customWidth="1"/>
    <col min="22" max="23" width="8.7109375" style="1"/>
    <col min="24" max="24" width="13.140625" style="1" customWidth="1"/>
    <col min="25" max="27" width="12.42578125" style="1" customWidth="1"/>
    <col min="28" max="28" width="26.42578125" style="1" customWidth="1"/>
    <col min="29" max="29" width="8.7109375" style="1"/>
    <col min="30" max="30" width="20.85546875" style="1" customWidth="1"/>
    <col min="31" max="31" width="8.7109375" style="1"/>
    <col min="32" max="32" width="11.28515625" style="1" customWidth="1"/>
    <col min="33" max="16384" width="8.7109375" style="1"/>
  </cols>
  <sheetData>
    <row r="1" spans="1:32" ht="19.5" customHeight="1" x14ac:dyDescent="0.25"/>
    <row r="2" spans="1:32" ht="15.75" thickBot="1" x14ac:dyDescent="0.3"/>
    <row r="3" spans="1:32" ht="35.450000000000003" customHeight="1" x14ac:dyDescent="0.25">
      <c r="B3" s="1378" t="s">
        <v>250</v>
      </c>
      <c r="C3" s="1379"/>
      <c r="D3" s="1379"/>
      <c r="E3" s="1379"/>
      <c r="F3" s="1379"/>
      <c r="G3" s="1379"/>
      <c r="H3" s="1379"/>
      <c r="I3" s="1379"/>
      <c r="J3" s="1379"/>
      <c r="K3" s="1379"/>
      <c r="L3" s="1380"/>
      <c r="N3" s="1370" t="s">
        <v>251</v>
      </c>
      <c r="O3" s="1371"/>
      <c r="P3" s="1371"/>
      <c r="Q3" s="1371"/>
      <c r="R3" s="1371"/>
      <c r="S3" s="1371"/>
      <c r="T3" s="1371"/>
      <c r="U3" s="1372"/>
      <c r="W3" s="1388" t="s">
        <v>252</v>
      </c>
      <c r="X3" s="1389"/>
      <c r="Y3" s="1389"/>
      <c r="Z3" s="1389"/>
      <c r="AA3" s="1389"/>
      <c r="AB3" s="1389"/>
      <c r="AC3" s="1389"/>
      <c r="AD3" s="1390"/>
      <c r="AE3" s="679"/>
      <c r="AF3" s="679"/>
    </row>
    <row r="4" spans="1:32" ht="15" customHeight="1" thickBot="1" x14ac:dyDescent="0.3">
      <c r="B4" s="1381"/>
      <c r="C4" s="1382"/>
      <c r="D4" s="1382"/>
      <c r="E4" s="1382"/>
      <c r="F4" s="1382"/>
      <c r="G4" s="1382"/>
      <c r="H4" s="1382"/>
      <c r="I4" s="1382"/>
      <c r="J4" s="1382"/>
      <c r="K4" s="1382"/>
      <c r="L4" s="1383"/>
      <c r="N4" s="1373"/>
      <c r="O4" s="1374"/>
      <c r="P4" s="1374"/>
      <c r="Q4" s="1374"/>
      <c r="R4" s="1374"/>
      <c r="S4" s="1374"/>
      <c r="T4" s="1374"/>
      <c r="U4" s="1375"/>
      <c r="W4" s="1391"/>
      <c r="X4" s="1392"/>
      <c r="Y4" s="1392"/>
      <c r="Z4" s="1392"/>
      <c r="AA4" s="1392"/>
      <c r="AB4" s="1392"/>
      <c r="AC4" s="1392"/>
      <c r="AD4" s="1393"/>
      <c r="AE4" s="679"/>
      <c r="AF4" s="679"/>
    </row>
    <row r="5" spans="1:32" ht="14.45" customHeight="1" x14ac:dyDescent="0.25">
      <c r="B5" s="1360" t="s">
        <v>253</v>
      </c>
      <c r="C5" s="1360" t="s">
        <v>254</v>
      </c>
      <c r="D5" s="1366" t="s">
        <v>255</v>
      </c>
      <c r="E5" s="1385"/>
      <c r="F5" s="1366" t="s">
        <v>256</v>
      </c>
      <c r="G5" s="1385"/>
      <c r="H5" s="1366" t="s">
        <v>257</v>
      </c>
      <c r="I5" s="1385"/>
      <c r="J5" s="1366" t="s">
        <v>258</v>
      </c>
      <c r="K5" s="1364" t="s">
        <v>259</v>
      </c>
      <c r="L5" s="1354" t="s">
        <v>260</v>
      </c>
      <c r="N5" s="1362" t="s">
        <v>253</v>
      </c>
      <c r="O5" s="1360" t="s">
        <v>254</v>
      </c>
      <c r="P5" s="1364" t="s">
        <v>255</v>
      </c>
      <c r="Q5" s="1364" t="s">
        <v>256</v>
      </c>
      <c r="R5" s="1366" t="s">
        <v>257</v>
      </c>
      <c r="S5" s="1356" t="s">
        <v>258</v>
      </c>
      <c r="T5" s="1368" t="s">
        <v>261</v>
      </c>
      <c r="U5" s="1354" t="s">
        <v>260</v>
      </c>
      <c r="W5" s="1396" t="s">
        <v>253</v>
      </c>
      <c r="X5" s="1356" t="s">
        <v>254</v>
      </c>
      <c r="Y5" s="1356" t="s">
        <v>255</v>
      </c>
      <c r="Z5" s="1356" t="s">
        <v>256</v>
      </c>
      <c r="AA5" s="1356" t="s">
        <v>262</v>
      </c>
      <c r="AB5" s="1356" t="s">
        <v>258</v>
      </c>
      <c r="AC5" s="1356" t="s">
        <v>261</v>
      </c>
      <c r="AD5" s="1358" t="s">
        <v>260</v>
      </c>
      <c r="AF5" s="680"/>
    </row>
    <row r="6" spans="1:32" ht="15.75" thickBot="1" x14ac:dyDescent="0.3">
      <c r="B6" s="1384"/>
      <c r="C6" s="1384"/>
      <c r="D6" s="1386"/>
      <c r="E6" s="1387"/>
      <c r="F6" s="1386"/>
      <c r="G6" s="1387"/>
      <c r="H6" s="1386"/>
      <c r="I6" s="1387"/>
      <c r="J6" s="1367"/>
      <c r="K6" s="1365"/>
      <c r="L6" s="1355"/>
      <c r="N6" s="1363"/>
      <c r="O6" s="1361"/>
      <c r="P6" s="1365"/>
      <c r="Q6" s="1365"/>
      <c r="R6" s="1367"/>
      <c r="S6" s="1357"/>
      <c r="T6" s="1369"/>
      <c r="U6" s="1355"/>
      <c r="W6" s="1397"/>
      <c r="X6" s="1357"/>
      <c r="Y6" s="1357"/>
      <c r="Z6" s="1357"/>
      <c r="AA6" s="1357"/>
      <c r="AB6" s="1357"/>
      <c r="AC6" s="1357"/>
      <c r="AD6" s="1359"/>
      <c r="AF6" s="680"/>
    </row>
    <row r="7" spans="1:32" x14ac:dyDescent="0.25">
      <c r="A7" s="757">
        <f>'D-1 Off-Site Habitat Baseline'!AF11</f>
        <v>0</v>
      </c>
      <c r="B7" s="759" t="e" cm="1" vm="1">
        <f t="array" ref="B7">_xlfn.UNIQUE(_xlfn._xlws.FILTER(A7:A747,A7:A747&lt;&gt;0))</f>
        <v>#VALUE!</v>
      </c>
      <c r="C7" s="760">
        <f>SUMIF('D-1 Off-Site Habitat Baseline'!AF11:AF14,B7,'D-1 Off-Site Habitat Baseline'!T11:T14)</f>
        <v>0</v>
      </c>
      <c r="D7" s="1376">
        <f>SUMIF('D-1 Off-Site Habitat Baseline'!$AF$11:$AF$258,'Off-site gain site summary'!$B$7,'D-1 Off-Site Habitat Baseline'!$X$11:$X$258)</f>
        <v>0</v>
      </c>
      <c r="E7" s="1377"/>
      <c r="F7" s="1376">
        <f>SUMIF('D-3 Off-Site Habitat Enhancment'!$AU$12:$AU$258,'Off-site gain site summary'!B7,'D-3 Off-Site Habitat Enhancment'!$AQ$12:$AQ$258)</f>
        <v>0</v>
      </c>
      <c r="G7" s="1377"/>
      <c r="H7" s="1376">
        <f>SUMIF('D-2 Off-Site Habitat Creation'!$AF$11:$AF$256,'Off-site gain site summary'!B7,'D-2 Off-Site Habitat Creation'!$AB$11:$AB$256)</f>
        <v>0</v>
      </c>
      <c r="I7" s="1377"/>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x14ac:dyDescent="0.25">
      <c r="A8" s="757">
        <f>'D-1 Off-Site Habitat Baseline'!AF12</f>
        <v>0</v>
      </c>
      <c r="B8" s="764"/>
      <c r="C8" s="762">
        <f>SUMIF('D-1 Off-Site Habitat Baseline'!AF12:AF15,B8,'D-1 Off-Site Habitat Baseline'!T12:T15)</f>
        <v>0</v>
      </c>
      <c r="D8" s="1351">
        <f>SUMIF('D-1 Off-Site Habitat Baseline'!$AF$11:$AF$258,'Off-site gain site summary'!$B$7,'D-1 Off-Site Habitat Baseline'!$X$11:$X$258)</f>
        <v>0</v>
      </c>
      <c r="E8" s="1352"/>
      <c r="F8" s="1351">
        <f>SUMIF('D-3 Off-Site Habitat Enhancment'!$AU$12:$AU$258,'Off-site gain site summary'!B8,'D-3 Off-Site Habitat Enhancment'!$AQ$12:$AQ$258)</f>
        <v>0</v>
      </c>
      <c r="G8" s="1352"/>
      <c r="H8" s="1351">
        <f>SUMIF('D-2 Off-Site Habitat Creation'!$AF$11:$AF$256,'Off-site gain site summary'!B8,'D-2 Off-Site Habitat Creation'!$AB$11:$AB$256)</f>
        <v>0</v>
      </c>
      <c r="I8" s="1352"/>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3"/>
      <c r="AF8" s="1353"/>
    </row>
    <row r="9" spans="1:32" x14ac:dyDescent="0.25">
      <c r="A9" s="757">
        <f>'D-1 Off-Site Habitat Baseline'!AF13</f>
        <v>0</v>
      </c>
      <c r="B9" s="764"/>
      <c r="C9" s="762">
        <f>SUMIF('D-1 Off-Site Habitat Baseline'!AF13:AF16,B9,'D-1 Off-Site Habitat Baseline'!T13:T16)</f>
        <v>0</v>
      </c>
      <c r="D9" s="1351">
        <f>SUMIF('D-1 Off-Site Habitat Baseline'!$AF$11:$AF$258,'Off-site gain site summary'!$B$7,'D-1 Off-Site Habitat Baseline'!$X$11:$X$258)</f>
        <v>0</v>
      </c>
      <c r="E9" s="1352"/>
      <c r="F9" s="1351">
        <f>SUMIF('D-3 Off-Site Habitat Enhancment'!$AU$12:$AU$258,'Off-site gain site summary'!B9,'D-3 Off-Site Habitat Enhancment'!$AQ$12:$AQ$258)</f>
        <v>0</v>
      </c>
      <c r="G9" s="1352"/>
      <c r="H9" s="1351">
        <f>SUMIF('D-2 Off-Site Habitat Creation'!$AF$11:$AF$256,'Off-site gain site summary'!B9,'D-2 Off-Site Habitat Creation'!$AB$11:$AB$256)</f>
        <v>0</v>
      </c>
      <c r="I9" s="1352"/>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3"/>
      <c r="AF9" s="1353"/>
    </row>
    <row r="10" spans="1:32" x14ac:dyDescent="0.25">
      <c r="A10" s="757">
        <f>'D-1 Off-Site Habitat Baseline'!AF14</f>
        <v>0</v>
      </c>
      <c r="B10" s="764"/>
      <c r="C10" s="762">
        <f>SUMIF('D-1 Off-Site Habitat Baseline'!AF14:AF17,B10,'D-1 Off-Site Habitat Baseline'!T14:T17)</f>
        <v>0</v>
      </c>
      <c r="D10" s="1351">
        <f>SUMIF('D-1 Off-Site Habitat Baseline'!$AF$11:$AF$258,'Off-site gain site summary'!$B$7,'D-1 Off-Site Habitat Baseline'!$X$11:$X$258)</f>
        <v>0</v>
      </c>
      <c r="E10" s="1352"/>
      <c r="F10" s="1351">
        <f>SUMIF('D-3 Off-Site Habitat Enhancment'!$AU$12:$AU$258,'Off-site gain site summary'!B10,'D-3 Off-Site Habitat Enhancment'!$AQ$12:$AQ$258)</f>
        <v>0</v>
      </c>
      <c r="G10" s="1352"/>
      <c r="H10" s="1351">
        <f>SUMIF('D-2 Off-Site Habitat Creation'!$AF$11:$AF$256,'Off-site gain site summary'!B10,'D-2 Off-Site Habitat Creation'!$AB$11:$AB$256)</f>
        <v>0</v>
      </c>
      <c r="I10" s="1352"/>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3"/>
      <c r="AF10" s="1353"/>
    </row>
    <row r="11" spans="1:32" x14ac:dyDescent="0.25">
      <c r="A11" s="757">
        <f>'D-1 Off-Site Habitat Baseline'!AF15</f>
        <v>0</v>
      </c>
      <c r="B11" s="764"/>
      <c r="C11" s="762">
        <f>SUMIF('D-1 Off-Site Habitat Baseline'!AF15:AF18,B11,'D-1 Off-Site Habitat Baseline'!T15:T18)</f>
        <v>0</v>
      </c>
      <c r="D11" s="1351">
        <f>SUMIF('D-1 Off-Site Habitat Baseline'!$AF$11:$AF$258,'Off-site gain site summary'!$B$7,'D-1 Off-Site Habitat Baseline'!$X$11:$X$258)</f>
        <v>0</v>
      </c>
      <c r="E11" s="1352"/>
      <c r="F11" s="1351">
        <f>SUMIF('D-3 Off-Site Habitat Enhancment'!$AU$12:$AU$258,'Off-site gain site summary'!B11,'D-3 Off-Site Habitat Enhancment'!$AQ$12:$AQ$258)</f>
        <v>0</v>
      </c>
      <c r="G11" s="1352"/>
      <c r="H11" s="1351">
        <f>SUMIF('D-2 Off-Site Habitat Creation'!$AF$11:$AF$256,'Off-site gain site summary'!B11,'D-2 Off-Site Habitat Creation'!$AB$11:$AB$256)</f>
        <v>0</v>
      </c>
      <c r="I11" s="1352"/>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3"/>
      <c r="AF11" s="1353"/>
    </row>
    <row r="12" spans="1:32" x14ac:dyDescent="0.25">
      <c r="A12" s="757">
        <f>'D-1 Off-Site Habitat Baseline'!AF16</f>
        <v>0</v>
      </c>
      <c r="B12" s="764"/>
      <c r="C12" s="762">
        <f>SUMIF('D-1 Off-Site Habitat Baseline'!AF16:AF19,B12,'D-1 Off-Site Habitat Baseline'!T16:T19)</f>
        <v>0</v>
      </c>
      <c r="D12" s="1351">
        <f>SUMIF('D-1 Off-Site Habitat Baseline'!$AF$11:$AF$258,'Off-site gain site summary'!$B$7,'D-1 Off-Site Habitat Baseline'!$X$11:$X$258)</f>
        <v>0</v>
      </c>
      <c r="E12" s="1352"/>
      <c r="F12" s="1351">
        <f>SUMIF('D-3 Off-Site Habitat Enhancment'!$AU$12:$AU$258,'Off-site gain site summary'!B12,'D-3 Off-Site Habitat Enhancment'!$AQ$12:$AQ$258)</f>
        <v>0</v>
      </c>
      <c r="G12" s="1352"/>
      <c r="H12" s="1351">
        <f>SUMIF('D-2 Off-Site Habitat Creation'!$AF$11:$AF$256,'Off-site gain site summary'!B12,'D-2 Off-Site Habitat Creation'!$AB$11:$AB$256)</f>
        <v>0</v>
      </c>
      <c r="I12" s="1352"/>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3"/>
      <c r="AF12" s="1353"/>
    </row>
    <row r="13" spans="1:32" x14ac:dyDescent="0.25">
      <c r="A13" s="757">
        <f>'D-1 Off-Site Habitat Baseline'!AF17</f>
        <v>0</v>
      </c>
      <c r="B13" s="764"/>
      <c r="C13" s="762">
        <f>SUMIF('D-1 Off-Site Habitat Baseline'!AF17:AF20,B13,'D-1 Off-Site Habitat Baseline'!T17:T20)</f>
        <v>0</v>
      </c>
      <c r="D13" s="1351">
        <f>SUMIF('D-1 Off-Site Habitat Baseline'!$AF$11:$AF$258,'Off-site gain site summary'!$B$7,'D-1 Off-Site Habitat Baseline'!$X$11:$X$258)</f>
        <v>0</v>
      </c>
      <c r="E13" s="1352"/>
      <c r="F13" s="1351">
        <f>SUMIF('D-3 Off-Site Habitat Enhancment'!$AU$12:$AU$258,'Off-site gain site summary'!B13,'D-3 Off-Site Habitat Enhancment'!$AQ$12:$AQ$258)</f>
        <v>0</v>
      </c>
      <c r="G13" s="1352"/>
      <c r="H13" s="1351">
        <f>SUMIF('D-2 Off-Site Habitat Creation'!$AF$11:$AF$256,'Off-site gain site summary'!B13,'D-2 Off-Site Habitat Creation'!$AB$11:$AB$256)</f>
        <v>0</v>
      </c>
      <c r="I13" s="1352"/>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3"/>
      <c r="AF13" s="1353"/>
    </row>
    <row r="14" spans="1:32" x14ac:dyDescent="0.25">
      <c r="A14" s="757">
        <f>'D-1 Off-Site Habitat Baseline'!AF18</f>
        <v>0</v>
      </c>
      <c r="B14" s="764"/>
      <c r="C14" s="762">
        <f>SUMIF('D-1 Off-Site Habitat Baseline'!AF18:AF21,B14,'D-1 Off-Site Habitat Baseline'!T18:T21)</f>
        <v>0</v>
      </c>
      <c r="D14" s="1351">
        <f>SUMIF('D-1 Off-Site Habitat Baseline'!$AF$11:$AF$258,'Off-site gain site summary'!$B$7,'D-1 Off-Site Habitat Baseline'!$X$11:$X$258)</f>
        <v>0</v>
      </c>
      <c r="E14" s="1352"/>
      <c r="F14" s="1351">
        <f>SUMIF('D-3 Off-Site Habitat Enhancment'!$AU$12:$AU$258,'Off-site gain site summary'!B14,'D-3 Off-Site Habitat Enhancment'!$AQ$12:$AQ$258)</f>
        <v>0</v>
      </c>
      <c r="G14" s="1352"/>
      <c r="H14" s="1351">
        <f>SUMIF('D-2 Off-Site Habitat Creation'!$AF$11:$AF$256,'Off-site gain site summary'!B14,'D-2 Off-Site Habitat Creation'!$AB$11:$AB$256)</f>
        <v>0</v>
      </c>
      <c r="I14" s="1352"/>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3"/>
      <c r="AF14" s="1353"/>
    </row>
    <row r="15" spans="1:32" x14ac:dyDescent="0.25">
      <c r="A15" s="757">
        <f>'D-1 Off-Site Habitat Baseline'!AF19</f>
        <v>0</v>
      </c>
      <c r="B15" s="764"/>
      <c r="C15" s="762">
        <f>SUMIF('D-1 Off-Site Habitat Baseline'!AF19:AF22,B15,'D-1 Off-Site Habitat Baseline'!T19:T22)</f>
        <v>0</v>
      </c>
      <c r="D15" s="1351">
        <f>SUMIF('D-1 Off-Site Habitat Baseline'!$AF$11:$AF$258,'Off-site gain site summary'!$B$7,'D-1 Off-Site Habitat Baseline'!$X$11:$X$258)</f>
        <v>0</v>
      </c>
      <c r="E15" s="1352"/>
      <c r="F15" s="1351">
        <f>SUMIF('D-3 Off-Site Habitat Enhancment'!$AU$12:$AU$258,'Off-site gain site summary'!B15,'D-3 Off-Site Habitat Enhancment'!$AQ$12:$AQ$258)</f>
        <v>0</v>
      </c>
      <c r="G15" s="1352"/>
      <c r="H15" s="1351">
        <f>SUMIF('D-2 Off-Site Habitat Creation'!$AF$11:$AF$256,'Off-site gain site summary'!B15,'D-2 Off-Site Habitat Creation'!$AB$11:$AB$256)</f>
        <v>0</v>
      </c>
      <c r="I15" s="1352"/>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3"/>
      <c r="AF15" s="1353"/>
    </row>
    <row r="16" spans="1:32" x14ac:dyDescent="0.25">
      <c r="A16" s="757">
        <f>'D-1 Off-Site Habitat Baseline'!AF20</f>
        <v>0</v>
      </c>
      <c r="B16" s="764"/>
      <c r="C16" s="762">
        <f>SUMIF('D-1 Off-Site Habitat Baseline'!AF20:AF23,B16,'D-1 Off-Site Habitat Baseline'!T20:T23)</f>
        <v>0</v>
      </c>
      <c r="D16" s="1351">
        <f>SUMIF('D-1 Off-Site Habitat Baseline'!$AF$11:$AF$258,'Off-site gain site summary'!$B$7,'D-1 Off-Site Habitat Baseline'!$X$11:$X$258)</f>
        <v>0</v>
      </c>
      <c r="E16" s="1352"/>
      <c r="F16" s="1351">
        <f>SUMIF('D-3 Off-Site Habitat Enhancment'!$AU$12:$AU$258,'Off-site gain site summary'!B16,'D-3 Off-Site Habitat Enhancment'!$AQ$12:$AQ$258)</f>
        <v>0</v>
      </c>
      <c r="G16" s="1352"/>
      <c r="H16" s="1351">
        <f>SUMIF('D-2 Off-Site Habitat Creation'!$AF$11:$AF$256,'Off-site gain site summary'!B16,'D-2 Off-Site Habitat Creation'!$AB$11:$AB$256)</f>
        <v>0</v>
      </c>
      <c r="I16" s="1352"/>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3"/>
      <c r="AF16" s="1353"/>
    </row>
    <row r="17" spans="1:32" x14ac:dyDescent="0.25">
      <c r="A17" s="757">
        <f>'D-1 Off-Site Habitat Baseline'!AF21</f>
        <v>0</v>
      </c>
      <c r="B17" s="764"/>
      <c r="C17" s="762">
        <f>SUMIF('D-1 Off-Site Habitat Baseline'!AF21:AF24,B17,'D-1 Off-Site Habitat Baseline'!T21:T24)</f>
        <v>0</v>
      </c>
      <c r="D17" s="1351">
        <f>SUMIF('D-1 Off-Site Habitat Baseline'!$AF$11:$AF$258,'Off-site gain site summary'!$B$7,'D-1 Off-Site Habitat Baseline'!$X$11:$X$258)</f>
        <v>0</v>
      </c>
      <c r="E17" s="1352"/>
      <c r="F17" s="1351">
        <f>SUMIF('D-3 Off-Site Habitat Enhancment'!$AU$12:$AU$258,'Off-site gain site summary'!B17,'D-3 Off-Site Habitat Enhancment'!$AQ$12:$AQ$258)</f>
        <v>0</v>
      </c>
      <c r="G17" s="1352"/>
      <c r="H17" s="1351">
        <f>SUMIF('D-2 Off-Site Habitat Creation'!$AF$11:$AF$256,'Off-site gain site summary'!B17,'D-2 Off-Site Habitat Creation'!$AB$11:$AB$256)</f>
        <v>0</v>
      </c>
      <c r="I17" s="1352"/>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3"/>
      <c r="AF17" s="1353"/>
    </row>
    <row r="18" spans="1:32" x14ac:dyDescent="0.25">
      <c r="A18" s="757">
        <f>'D-1 Off-Site Habitat Baseline'!AF22</f>
        <v>0</v>
      </c>
      <c r="B18" s="764"/>
      <c r="C18" s="762">
        <f>SUMIF('D-1 Off-Site Habitat Baseline'!AF22:AF25,B18,'D-1 Off-Site Habitat Baseline'!T22:T25)</f>
        <v>0</v>
      </c>
      <c r="D18" s="1351">
        <f>SUMIF('D-1 Off-Site Habitat Baseline'!$AF$11:$AF$258,'Off-site gain site summary'!$B$7,'D-1 Off-Site Habitat Baseline'!$X$11:$X$258)</f>
        <v>0</v>
      </c>
      <c r="E18" s="1352"/>
      <c r="F18" s="1351">
        <f>SUMIF('D-3 Off-Site Habitat Enhancment'!$AU$12:$AU$258,'Off-site gain site summary'!B18,'D-3 Off-Site Habitat Enhancment'!$AQ$12:$AQ$258)</f>
        <v>0</v>
      </c>
      <c r="G18" s="1352"/>
      <c r="H18" s="1351">
        <f>SUMIF('D-2 Off-Site Habitat Creation'!$AF$11:$AF$256,'Off-site gain site summary'!B18,'D-2 Off-Site Habitat Creation'!$AB$11:$AB$256)</f>
        <v>0</v>
      </c>
      <c r="I18" s="1352"/>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3"/>
      <c r="AF18" s="1353"/>
    </row>
    <row r="19" spans="1:32" x14ac:dyDescent="0.25">
      <c r="A19" s="757">
        <f>'D-1 Off-Site Habitat Baseline'!AF23</f>
        <v>0</v>
      </c>
      <c r="B19" s="764"/>
      <c r="C19" s="762">
        <f>SUMIF('D-1 Off-Site Habitat Baseline'!AF23:AF26,B19,'D-1 Off-Site Habitat Baseline'!T23:T26)</f>
        <v>0</v>
      </c>
      <c r="D19" s="1351">
        <f>SUMIF('D-1 Off-Site Habitat Baseline'!$AF$11:$AF$258,'Off-site gain site summary'!$B$7,'D-1 Off-Site Habitat Baseline'!$X$11:$X$258)</f>
        <v>0</v>
      </c>
      <c r="E19" s="1352"/>
      <c r="F19" s="1351">
        <f>SUMIF('D-3 Off-Site Habitat Enhancment'!$AU$12:$AU$258,'Off-site gain site summary'!B19,'D-3 Off-Site Habitat Enhancment'!$AQ$12:$AQ$258)</f>
        <v>0</v>
      </c>
      <c r="G19" s="1352"/>
      <c r="H19" s="1351">
        <f>SUMIF('D-2 Off-Site Habitat Creation'!$AF$11:$AF$256,'Off-site gain site summary'!B19,'D-2 Off-Site Habitat Creation'!$AB$11:$AB$256)</f>
        <v>0</v>
      </c>
      <c r="I19" s="1352"/>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3"/>
      <c r="AF19" s="1353"/>
    </row>
    <row r="20" spans="1:32" x14ac:dyDescent="0.25">
      <c r="A20" s="757">
        <f>'D-1 Off-Site Habitat Baseline'!AF24</f>
        <v>0</v>
      </c>
      <c r="B20" s="764"/>
      <c r="C20" s="762">
        <f>SUMIF('D-1 Off-Site Habitat Baseline'!AF24:AF27,B20,'D-1 Off-Site Habitat Baseline'!T24:T27)</f>
        <v>0</v>
      </c>
      <c r="D20" s="1351">
        <f>SUMIF('D-1 Off-Site Habitat Baseline'!$AF$11:$AF$258,'Off-site gain site summary'!$B$7,'D-1 Off-Site Habitat Baseline'!$X$11:$X$258)</f>
        <v>0</v>
      </c>
      <c r="E20" s="1352"/>
      <c r="F20" s="1351">
        <f>SUMIF('D-3 Off-Site Habitat Enhancment'!$AU$12:$AU$258,'Off-site gain site summary'!B20,'D-3 Off-Site Habitat Enhancment'!$AQ$12:$AQ$258)</f>
        <v>0</v>
      </c>
      <c r="G20" s="1352"/>
      <c r="H20" s="1351">
        <f>SUMIF('D-2 Off-Site Habitat Creation'!$AF$11:$AF$256,'Off-site gain site summary'!B20,'D-2 Off-Site Habitat Creation'!$AB$11:$AB$256)</f>
        <v>0</v>
      </c>
      <c r="I20" s="1352"/>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3"/>
      <c r="AF20" s="1353"/>
    </row>
    <row r="21" spans="1:32" x14ac:dyDescent="0.25">
      <c r="A21" s="757">
        <f>'D-1 Off-Site Habitat Baseline'!AF25</f>
        <v>0</v>
      </c>
      <c r="B21" s="764"/>
      <c r="C21" s="762">
        <f>SUMIF('D-1 Off-Site Habitat Baseline'!AF25:AF28,B21,'D-1 Off-Site Habitat Baseline'!T25:T28)</f>
        <v>0</v>
      </c>
      <c r="D21" s="1351">
        <f>SUMIF('D-1 Off-Site Habitat Baseline'!$AF$11:$AF$258,'Off-site gain site summary'!$B$7,'D-1 Off-Site Habitat Baseline'!$X$11:$X$258)</f>
        <v>0</v>
      </c>
      <c r="E21" s="1352"/>
      <c r="F21" s="1351">
        <f>SUMIF('D-3 Off-Site Habitat Enhancment'!$AU$12:$AU$258,'Off-site gain site summary'!B21,'D-3 Off-Site Habitat Enhancment'!$AQ$12:$AQ$258)</f>
        <v>0</v>
      </c>
      <c r="G21" s="1352"/>
      <c r="H21" s="1351">
        <f>SUMIF('D-2 Off-Site Habitat Creation'!$AF$11:$AF$256,'Off-site gain site summary'!B21,'D-2 Off-Site Habitat Creation'!$AB$11:$AB$256)</f>
        <v>0</v>
      </c>
      <c r="I21" s="1352"/>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3"/>
      <c r="AF21" s="1353"/>
    </row>
    <row r="22" spans="1:32" x14ac:dyDescent="0.25">
      <c r="A22" s="757">
        <f>'D-1 Off-Site Habitat Baseline'!AF26</f>
        <v>0</v>
      </c>
      <c r="B22" s="764"/>
      <c r="C22" s="762">
        <f>SUMIF('D-1 Off-Site Habitat Baseline'!AF26:AF29,B22,'D-1 Off-Site Habitat Baseline'!T26:T29)</f>
        <v>0</v>
      </c>
      <c r="D22" s="1351">
        <f>SUMIF('D-1 Off-Site Habitat Baseline'!$AF$11:$AF$258,'Off-site gain site summary'!$B$7,'D-1 Off-Site Habitat Baseline'!$X$11:$X$258)</f>
        <v>0</v>
      </c>
      <c r="E22" s="1352"/>
      <c r="F22" s="1351">
        <f>SUMIF('D-3 Off-Site Habitat Enhancment'!$AU$12:$AU$258,'Off-site gain site summary'!B22,'D-3 Off-Site Habitat Enhancment'!$AQ$12:$AQ$258)</f>
        <v>0</v>
      </c>
      <c r="G22" s="1352"/>
      <c r="H22" s="1351">
        <f>SUMIF('D-2 Off-Site Habitat Creation'!$AF$11:$AF$256,'Off-site gain site summary'!B22,'D-2 Off-Site Habitat Creation'!$AB$11:$AB$256)</f>
        <v>0</v>
      </c>
      <c r="I22" s="1352"/>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3"/>
      <c r="AF22" s="1353"/>
    </row>
    <row r="23" spans="1:32" x14ac:dyDescent="0.25">
      <c r="A23" s="757">
        <f>'D-1 Off-Site Habitat Baseline'!AF27</f>
        <v>0</v>
      </c>
      <c r="B23" s="764"/>
      <c r="C23" s="762">
        <f>SUMIF('D-1 Off-Site Habitat Baseline'!AF27:AF30,B23,'D-1 Off-Site Habitat Baseline'!T27:T30)</f>
        <v>0</v>
      </c>
      <c r="D23" s="1351">
        <f>SUMIF('D-1 Off-Site Habitat Baseline'!$AF$11:$AF$258,'Off-site gain site summary'!$B$7,'D-1 Off-Site Habitat Baseline'!$X$11:$X$258)</f>
        <v>0</v>
      </c>
      <c r="E23" s="1352"/>
      <c r="F23" s="1351">
        <f>SUMIF('D-3 Off-Site Habitat Enhancment'!$AU$12:$AU$258,'Off-site gain site summary'!B23,'D-3 Off-Site Habitat Enhancment'!$AQ$12:$AQ$258)</f>
        <v>0</v>
      </c>
      <c r="G23" s="1352"/>
      <c r="H23" s="1351">
        <f>SUMIF('D-2 Off-Site Habitat Creation'!$AF$11:$AF$256,'Off-site gain site summary'!B23,'D-2 Off-Site Habitat Creation'!$AB$11:$AB$256)</f>
        <v>0</v>
      </c>
      <c r="I23" s="1352"/>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3"/>
      <c r="AF23" s="1353"/>
    </row>
    <row r="24" spans="1:32" x14ac:dyDescent="0.25">
      <c r="A24" s="757">
        <f>'D-1 Off-Site Habitat Baseline'!AF28</f>
        <v>0</v>
      </c>
      <c r="B24" s="764"/>
      <c r="C24" s="762">
        <f>SUMIF('D-1 Off-Site Habitat Baseline'!AF28:AF31,B24,'D-1 Off-Site Habitat Baseline'!T28:T31)</f>
        <v>0</v>
      </c>
      <c r="D24" s="1351">
        <f>SUMIF('D-1 Off-Site Habitat Baseline'!$AF$11:$AF$258,'Off-site gain site summary'!$B$7,'D-1 Off-Site Habitat Baseline'!$X$11:$X$258)</f>
        <v>0</v>
      </c>
      <c r="E24" s="1352"/>
      <c r="F24" s="1351">
        <f>SUMIF('D-3 Off-Site Habitat Enhancment'!$AU$12:$AU$258,'Off-site gain site summary'!B24,'D-3 Off-Site Habitat Enhancment'!$AQ$12:$AQ$258)</f>
        <v>0</v>
      </c>
      <c r="G24" s="1352"/>
      <c r="H24" s="1351">
        <f>SUMIF('D-2 Off-Site Habitat Creation'!$AF$11:$AF$256,'Off-site gain site summary'!B24,'D-2 Off-Site Habitat Creation'!$AB$11:$AB$256)</f>
        <v>0</v>
      </c>
      <c r="I24" s="1352"/>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3"/>
      <c r="AF24" s="1353"/>
    </row>
    <row r="25" spans="1:32" x14ac:dyDescent="0.25">
      <c r="A25" s="757">
        <f>'D-1 Off-Site Habitat Baseline'!AF29</f>
        <v>0</v>
      </c>
      <c r="B25" s="764"/>
      <c r="C25" s="762">
        <f>SUMIF('D-1 Off-Site Habitat Baseline'!AF29:AF32,B25,'D-1 Off-Site Habitat Baseline'!T29:T32)</f>
        <v>0</v>
      </c>
      <c r="D25" s="1351">
        <f>SUMIF('D-1 Off-Site Habitat Baseline'!$AF$11:$AF$258,'Off-site gain site summary'!$B$7,'D-1 Off-Site Habitat Baseline'!$X$11:$X$258)</f>
        <v>0</v>
      </c>
      <c r="E25" s="1352"/>
      <c r="F25" s="1351">
        <f>SUMIF('D-3 Off-Site Habitat Enhancment'!$AU$12:$AU$258,'Off-site gain site summary'!B25,'D-3 Off-Site Habitat Enhancment'!$AQ$12:$AQ$258)</f>
        <v>0</v>
      </c>
      <c r="G25" s="1352"/>
      <c r="H25" s="1351">
        <f>SUMIF('D-2 Off-Site Habitat Creation'!$AF$11:$AF$256,'Off-site gain site summary'!B25,'D-2 Off-Site Habitat Creation'!$AB$11:$AB$256)</f>
        <v>0</v>
      </c>
      <c r="I25" s="1352"/>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3"/>
      <c r="AF25" s="1353"/>
    </row>
    <row r="26" spans="1:32" x14ac:dyDescent="0.25">
      <c r="A26" s="757">
        <f>'D-1 Off-Site Habitat Baseline'!AF30</f>
        <v>0</v>
      </c>
      <c r="B26" s="764"/>
      <c r="C26" s="762">
        <f>SUMIF('D-1 Off-Site Habitat Baseline'!AF30:AF33,B26,'D-1 Off-Site Habitat Baseline'!T30:T33)</f>
        <v>0</v>
      </c>
      <c r="D26" s="1351">
        <f>SUMIF('D-1 Off-Site Habitat Baseline'!$AF$11:$AF$258,'Off-site gain site summary'!$B$7,'D-1 Off-Site Habitat Baseline'!$X$11:$X$258)</f>
        <v>0</v>
      </c>
      <c r="E26" s="1352"/>
      <c r="F26" s="1351">
        <f>SUMIF('D-3 Off-Site Habitat Enhancment'!$AU$12:$AU$258,'Off-site gain site summary'!B26,'D-3 Off-Site Habitat Enhancment'!$AQ$12:$AQ$258)</f>
        <v>0</v>
      </c>
      <c r="G26" s="1352"/>
      <c r="H26" s="1351">
        <f>SUMIF('D-2 Off-Site Habitat Creation'!$AF$11:$AF$256,'Off-site gain site summary'!B26,'D-2 Off-Site Habitat Creation'!$AB$11:$AB$256)</f>
        <v>0</v>
      </c>
      <c r="I26" s="1352"/>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3"/>
      <c r="AF26" s="1353"/>
    </row>
    <row r="27" spans="1:32" x14ac:dyDescent="0.25">
      <c r="A27" s="757">
        <f>'D-1 Off-Site Habitat Baseline'!AF31</f>
        <v>0</v>
      </c>
      <c r="B27" s="764"/>
      <c r="C27" s="762">
        <f>SUMIF('D-1 Off-Site Habitat Baseline'!AF31:AF34,B27,'D-1 Off-Site Habitat Baseline'!T31:T34)</f>
        <v>0</v>
      </c>
      <c r="D27" s="1351">
        <f>SUMIF('D-1 Off-Site Habitat Baseline'!$AF$11:$AF$258,'Off-site gain site summary'!$B$7,'D-1 Off-Site Habitat Baseline'!$X$11:$X$258)</f>
        <v>0</v>
      </c>
      <c r="E27" s="1352"/>
      <c r="F27" s="1351">
        <f>SUMIF('D-3 Off-Site Habitat Enhancment'!$AU$12:$AU$258,'Off-site gain site summary'!B27,'D-3 Off-Site Habitat Enhancment'!$AQ$12:$AQ$258)</f>
        <v>0</v>
      </c>
      <c r="G27" s="1352"/>
      <c r="H27" s="1351">
        <f>SUMIF('D-2 Off-Site Habitat Creation'!$AF$11:$AF$256,'Off-site gain site summary'!B27,'D-2 Off-Site Habitat Creation'!$AB$11:$AB$256)</f>
        <v>0</v>
      </c>
      <c r="I27" s="1352"/>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3"/>
      <c r="AF27" s="1353"/>
    </row>
    <row r="28" spans="1:32" x14ac:dyDescent="0.25">
      <c r="A28" s="757">
        <f>'D-1 Off-Site Habitat Baseline'!AF32</f>
        <v>0</v>
      </c>
      <c r="B28" s="764"/>
      <c r="C28" s="762">
        <f>SUMIF('D-1 Off-Site Habitat Baseline'!AF32:AF35,B28,'D-1 Off-Site Habitat Baseline'!T32:T35)</f>
        <v>0</v>
      </c>
      <c r="D28" s="1351">
        <f>SUMIF('D-1 Off-Site Habitat Baseline'!$AF$11:$AF$258,'Off-site gain site summary'!$B$7,'D-1 Off-Site Habitat Baseline'!$X$11:$X$258)</f>
        <v>0</v>
      </c>
      <c r="E28" s="1352"/>
      <c r="F28" s="1351">
        <f>SUMIF('D-3 Off-Site Habitat Enhancment'!$AU$12:$AU$258,'Off-site gain site summary'!B28,'D-3 Off-Site Habitat Enhancment'!$AQ$12:$AQ$258)</f>
        <v>0</v>
      </c>
      <c r="G28" s="1352"/>
      <c r="H28" s="1351">
        <f>SUMIF('D-2 Off-Site Habitat Creation'!$AF$11:$AF$256,'Off-site gain site summary'!B28,'D-2 Off-Site Habitat Creation'!$AB$11:$AB$256)</f>
        <v>0</v>
      </c>
      <c r="I28" s="1352"/>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3"/>
      <c r="AF28" s="1353"/>
    </row>
    <row r="29" spans="1:32" x14ac:dyDescent="0.25">
      <c r="A29" s="757">
        <f>'D-1 Off-Site Habitat Baseline'!AF33</f>
        <v>0</v>
      </c>
      <c r="B29" s="764"/>
      <c r="C29" s="762">
        <f>SUMIF('D-1 Off-Site Habitat Baseline'!AF33:AF36,B29,'D-1 Off-Site Habitat Baseline'!T33:T36)</f>
        <v>0</v>
      </c>
      <c r="D29" s="1351">
        <f>SUMIF('D-1 Off-Site Habitat Baseline'!$AF$11:$AF$258,'Off-site gain site summary'!$B$7,'D-1 Off-Site Habitat Baseline'!$X$11:$X$258)</f>
        <v>0</v>
      </c>
      <c r="E29" s="1352"/>
      <c r="F29" s="1351">
        <f>SUMIF('D-3 Off-Site Habitat Enhancment'!$AU$12:$AU$258,'Off-site gain site summary'!B29,'D-3 Off-Site Habitat Enhancment'!$AQ$12:$AQ$258)</f>
        <v>0</v>
      </c>
      <c r="G29" s="1352"/>
      <c r="H29" s="1351">
        <f>SUMIF('D-2 Off-Site Habitat Creation'!$AF$11:$AF$256,'Off-site gain site summary'!B29,'D-2 Off-Site Habitat Creation'!$AB$11:$AB$256)</f>
        <v>0</v>
      </c>
      <c r="I29" s="1352"/>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3"/>
      <c r="AF29" s="1353"/>
    </row>
    <row r="30" spans="1:32" x14ac:dyDescent="0.25">
      <c r="A30" s="757">
        <f>'D-1 Off-Site Habitat Baseline'!AF34</f>
        <v>0</v>
      </c>
      <c r="B30" s="764"/>
      <c r="C30" s="762">
        <f>SUMIF('D-1 Off-Site Habitat Baseline'!AF34:AF37,B30,'D-1 Off-Site Habitat Baseline'!T34:T37)</f>
        <v>0</v>
      </c>
      <c r="D30" s="1351">
        <f>SUMIF('D-1 Off-Site Habitat Baseline'!$AF$11:$AF$258,'Off-site gain site summary'!$B$7,'D-1 Off-Site Habitat Baseline'!$X$11:$X$258)</f>
        <v>0</v>
      </c>
      <c r="E30" s="1352"/>
      <c r="F30" s="1351">
        <f>SUMIF('D-3 Off-Site Habitat Enhancment'!$AU$12:$AU$258,'Off-site gain site summary'!B30,'D-3 Off-Site Habitat Enhancment'!$AQ$12:$AQ$258)</f>
        <v>0</v>
      </c>
      <c r="G30" s="1352"/>
      <c r="H30" s="1351">
        <f>SUMIF('D-2 Off-Site Habitat Creation'!$AF$11:$AF$256,'Off-site gain site summary'!B30,'D-2 Off-Site Habitat Creation'!$AB$11:$AB$256)</f>
        <v>0</v>
      </c>
      <c r="I30" s="1352"/>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3"/>
      <c r="AF30" s="1353"/>
    </row>
    <row r="31" spans="1:32" x14ac:dyDescent="0.25">
      <c r="A31" s="757">
        <f>'D-1 Off-Site Habitat Baseline'!AF35</f>
        <v>0</v>
      </c>
      <c r="B31" s="764"/>
      <c r="C31" s="762">
        <f>SUMIF('D-1 Off-Site Habitat Baseline'!AF35:AF38,B31,'D-1 Off-Site Habitat Baseline'!T35:T38)</f>
        <v>0</v>
      </c>
      <c r="D31" s="1351">
        <f>SUMIF('D-1 Off-Site Habitat Baseline'!$AF$11:$AF$258,'Off-site gain site summary'!$B$7,'D-1 Off-Site Habitat Baseline'!$X$11:$X$258)</f>
        <v>0</v>
      </c>
      <c r="E31" s="1352"/>
      <c r="F31" s="1351">
        <f>SUMIF('D-3 Off-Site Habitat Enhancment'!$AU$12:$AU$258,'Off-site gain site summary'!B31,'D-3 Off-Site Habitat Enhancment'!$AQ$12:$AQ$258)</f>
        <v>0</v>
      </c>
      <c r="G31" s="1352"/>
      <c r="H31" s="1351">
        <f>SUMIF('D-2 Off-Site Habitat Creation'!$AF$11:$AF$256,'Off-site gain site summary'!B31,'D-2 Off-Site Habitat Creation'!$AB$11:$AB$256)</f>
        <v>0</v>
      </c>
      <c r="I31" s="1352"/>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3"/>
      <c r="AF31" s="1353"/>
    </row>
    <row r="32" spans="1:32" x14ac:dyDescent="0.25">
      <c r="A32" s="757">
        <f>'D-1 Off-Site Habitat Baseline'!AF36</f>
        <v>0</v>
      </c>
      <c r="B32" s="764"/>
      <c r="C32" s="762">
        <f>SUMIF('D-1 Off-Site Habitat Baseline'!AF36:AF39,B32,'D-1 Off-Site Habitat Baseline'!T36:T39)</f>
        <v>0</v>
      </c>
      <c r="D32" s="1351">
        <f>SUMIF('D-1 Off-Site Habitat Baseline'!$AF$11:$AF$258,'Off-site gain site summary'!$B$7,'D-1 Off-Site Habitat Baseline'!$X$11:$X$258)</f>
        <v>0</v>
      </c>
      <c r="E32" s="1352"/>
      <c r="F32" s="1351">
        <f>SUMIF('D-3 Off-Site Habitat Enhancment'!$AU$12:$AU$258,'Off-site gain site summary'!B32,'D-3 Off-Site Habitat Enhancment'!$AQ$12:$AQ$258)</f>
        <v>0</v>
      </c>
      <c r="G32" s="1352"/>
      <c r="H32" s="1351">
        <f>SUMIF('D-2 Off-Site Habitat Creation'!$AF$11:$AF$256,'Off-site gain site summary'!B32,'D-2 Off-Site Habitat Creation'!$AB$11:$AB$256)</f>
        <v>0</v>
      </c>
      <c r="I32" s="1352"/>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3"/>
      <c r="AF32" s="1353"/>
    </row>
    <row r="33" spans="1:32" x14ac:dyDescent="0.25">
      <c r="A33" s="757">
        <f>'D-1 Off-Site Habitat Baseline'!AF37</f>
        <v>0</v>
      </c>
      <c r="B33" s="764"/>
      <c r="C33" s="762">
        <f>SUMIF('D-1 Off-Site Habitat Baseline'!AF37:AF40,B33,'D-1 Off-Site Habitat Baseline'!T37:T40)</f>
        <v>0</v>
      </c>
      <c r="D33" s="1351">
        <f>SUMIF('D-1 Off-Site Habitat Baseline'!$AF$11:$AF$258,'Off-site gain site summary'!$B$7,'D-1 Off-Site Habitat Baseline'!$X$11:$X$258)</f>
        <v>0</v>
      </c>
      <c r="E33" s="1352"/>
      <c r="F33" s="1351">
        <f>SUMIF('D-3 Off-Site Habitat Enhancment'!$AU$12:$AU$258,'Off-site gain site summary'!B33,'D-3 Off-Site Habitat Enhancment'!$AQ$12:$AQ$258)</f>
        <v>0</v>
      </c>
      <c r="G33" s="1352"/>
      <c r="H33" s="1351">
        <f>SUMIF('D-2 Off-Site Habitat Creation'!$AF$11:$AF$256,'Off-site gain site summary'!B33,'D-2 Off-Site Habitat Creation'!$AB$11:$AB$256)</f>
        <v>0</v>
      </c>
      <c r="I33" s="1352"/>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3"/>
      <c r="AF33" s="1353"/>
    </row>
    <row r="34" spans="1:32" x14ac:dyDescent="0.25">
      <c r="A34" s="757">
        <f>'D-1 Off-Site Habitat Baseline'!AF38</f>
        <v>0</v>
      </c>
      <c r="B34" s="764"/>
      <c r="C34" s="762">
        <f>SUMIF('D-1 Off-Site Habitat Baseline'!AF38:AF41,B34,'D-1 Off-Site Habitat Baseline'!T38:T41)</f>
        <v>0</v>
      </c>
      <c r="D34" s="1351">
        <f>SUMIF('D-1 Off-Site Habitat Baseline'!$AF$11:$AF$258,'Off-site gain site summary'!$B$7,'D-1 Off-Site Habitat Baseline'!$X$11:$X$258)</f>
        <v>0</v>
      </c>
      <c r="E34" s="1352"/>
      <c r="F34" s="1351">
        <f>SUMIF('D-3 Off-Site Habitat Enhancment'!$AU$12:$AU$258,'Off-site gain site summary'!B34,'D-3 Off-Site Habitat Enhancment'!$AQ$12:$AQ$258)</f>
        <v>0</v>
      </c>
      <c r="G34" s="1352"/>
      <c r="H34" s="1351">
        <f>SUMIF('D-2 Off-Site Habitat Creation'!$AF$11:$AF$256,'Off-site gain site summary'!B34,'D-2 Off-Site Habitat Creation'!$AB$11:$AB$256)</f>
        <v>0</v>
      </c>
      <c r="I34" s="1352"/>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3"/>
      <c r="AF34" s="1353"/>
    </row>
    <row r="35" spans="1:32" x14ac:dyDescent="0.25">
      <c r="A35" s="757">
        <f>'D-1 Off-Site Habitat Baseline'!AF39</f>
        <v>0</v>
      </c>
      <c r="B35" s="764"/>
      <c r="C35" s="762">
        <f>SUMIF('D-1 Off-Site Habitat Baseline'!AF39:AF42,B35,'D-1 Off-Site Habitat Baseline'!T39:T42)</f>
        <v>0</v>
      </c>
      <c r="D35" s="1351">
        <f>SUMIF('D-1 Off-Site Habitat Baseline'!$AF$11:$AF$258,'Off-site gain site summary'!$B$7,'D-1 Off-Site Habitat Baseline'!$X$11:$X$258)</f>
        <v>0</v>
      </c>
      <c r="E35" s="1352"/>
      <c r="F35" s="1351">
        <f>SUMIF('D-3 Off-Site Habitat Enhancment'!$AU$12:$AU$258,'Off-site gain site summary'!B35,'D-3 Off-Site Habitat Enhancment'!$AQ$12:$AQ$258)</f>
        <v>0</v>
      </c>
      <c r="G35" s="1352"/>
      <c r="H35" s="1351">
        <f>SUMIF('D-2 Off-Site Habitat Creation'!$AF$11:$AF$256,'Off-site gain site summary'!B35,'D-2 Off-Site Habitat Creation'!$AB$11:$AB$256)</f>
        <v>0</v>
      </c>
      <c r="I35" s="1352"/>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3"/>
      <c r="AF35" s="1353"/>
    </row>
    <row r="36" spans="1:32" x14ac:dyDescent="0.25">
      <c r="A36" s="757">
        <f>'D-1 Off-Site Habitat Baseline'!AF40</f>
        <v>0</v>
      </c>
      <c r="B36" s="764"/>
      <c r="C36" s="762">
        <f>SUMIF('D-1 Off-Site Habitat Baseline'!AF40:AF43,B36,'D-1 Off-Site Habitat Baseline'!T40:T43)</f>
        <v>0</v>
      </c>
      <c r="D36" s="1351">
        <f>SUMIF('D-1 Off-Site Habitat Baseline'!$AF$11:$AF$258,'Off-site gain site summary'!$B$7,'D-1 Off-Site Habitat Baseline'!$X$11:$X$258)</f>
        <v>0</v>
      </c>
      <c r="E36" s="1352"/>
      <c r="F36" s="1351">
        <f>SUMIF('D-3 Off-Site Habitat Enhancment'!$AU$12:$AU$258,'Off-site gain site summary'!B36,'D-3 Off-Site Habitat Enhancment'!$AQ$12:$AQ$258)</f>
        <v>0</v>
      </c>
      <c r="G36" s="1352"/>
      <c r="H36" s="1351">
        <f>SUMIF('D-2 Off-Site Habitat Creation'!$AF$11:$AF$256,'Off-site gain site summary'!B36,'D-2 Off-Site Habitat Creation'!$AB$11:$AB$256)</f>
        <v>0</v>
      </c>
      <c r="I36" s="1352"/>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3"/>
      <c r="AF36" s="1353"/>
    </row>
    <row r="37" spans="1:32" x14ac:dyDescent="0.25">
      <c r="A37" s="757">
        <f>'D-1 Off-Site Habitat Baseline'!AF41</f>
        <v>0</v>
      </c>
      <c r="B37" s="764"/>
      <c r="C37" s="762">
        <f>SUMIF('D-1 Off-Site Habitat Baseline'!AF41:AF44,B37,'D-1 Off-Site Habitat Baseline'!T41:T44)</f>
        <v>0</v>
      </c>
      <c r="D37" s="1351">
        <f>SUMIF('D-1 Off-Site Habitat Baseline'!$AF$11:$AF$258,'Off-site gain site summary'!$B$7,'D-1 Off-Site Habitat Baseline'!$X$11:$X$258)</f>
        <v>0</v>
      </c>
      <c r="E37" s="1352"/>
      <c r="F37" s="1351">
        <f>SUMIF('D-3 Off-Site Habitat Enhancment'!$AU$12:$AU$258,'Off-site gain site summary'!B37,'D-3 Off-Site Habitat Enhancment'!$AQ$12:$AQ$258)</f>
        <v>0</v>
      </c>
      <c r="G37" s="1352"/>
      <c r="H37" s="1351">
        <f>SUMIF('D-2 Off-Site Habitat Creation'!$AF$11:$AF$256,'Off-site gain site summary'!B37,'D-2 Off-Site Habitat Creation'!$AB$11:$AB$256)</f>
        <v>0</v>
      </c>
      <c r="I37" s="1352"/>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3"/>
      <c r="AF37" s="1353"/>
    </row>
    <row r="38" spans="1:32" x14ac:dyDescent="0.25">
      <c r="A38" s="757">
        <f>'D-1 Off-Site Habitat Baseline'!AF42</f>
        <v>0</v>
      </c>
      <c r="B38" s="764"/>
      <c r="C38" s="762">
        <f>SUMIF('D-1 Off-Site Habitat Baseline'!AF42:AF45,B38,'D-1 Off-Site Habitat Baseline'!T42:T45)</f>
        <v>0</v>
      </c>
      <c r="D38" s="1351">
        <f>SUMIF('D-1 Off-Site Habitat Baseline'!$AF$11:$AF$258,'Off-site gain site summary'!$B$7,'D-1 Off-Site Habitat Baseline'!$X$11:$X$258)</f>
        <v>0</v>
      </c>
      <c r="E38" s="1352"/>
      <c r="F38" s="1351">
        <f>SUMIF('D-3 Off-Site Habitat Enhancment'!$AU$12:$AU$258,'Off-site gain site summary'!B38,'D-3 Off-Site Habitat Enhancment'!$AQ$12:$AQ$258)</f>
        <v>0</v>
      </c>
      <c r="G38" s="1352"/>
      <c r="H38" s="1351">
        <f>SUMIF('D-2 Off-Site Habitat Creation'!$AF$11:$AF$256,'Off-site gain site summary'!B38,'D-2 Off-Site Habitat Creation'!$AB$11:$AB$256)</f>
        <v>0</v>
      </c>
      <c r="I38" s="1352"/>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3"/>
      <c r="AF38" s="1353"/>
    </row>
    <row r="39" spans="1:32" x14ac:dyDescent="0.25">
      <c r="A39" s="757">
        <f>'D-1 Off-Site Habitat Baseline'!AF43</f>
        <v>0</v>
      </c>
      <c r="B39" s="764"/>
      <c r="C39" s="762">
        <f>SUMIF('D-1 Off-Site Habitat Baseline'!AF43:AF46,B39,'D-1 Off-Site Habitat Baseline'!T43:T46)</f>
        <v>0</v>
      </c>
      <c r="D39" s="1351">
        <f>SUMIF('D-1 Off-Site Habitat Baseline'!$AF$11:$AF$258,'Off-site gain site summary'!$B$7,'D-1 Off-Site Habitat Baseline'!$X$11:$X$258)</f>
        <v>0</v>
      </c>
      <c r="E39" s="1352"/>
      <c r="F39" s="1351">
        <f>SUMIF('D-3 Off-Site Habitat Enhancment'!$AU$12:$AU$258,'Off-site gain site summary'!B39,'D-3 Off-Site Habitat Enhancment'!$AQ$12:$AQ$258)</f>
        <v>0</v>
      </c>
      <c r="G39" s="1352"/>
      <c r="H39" s="1351">
        <f>SUMIF('D-2 Off-Site Habitat Creation'!$AF$11:$AF$256,'Off-site gain site summary'!B39,'D-2 Off-Site Habitat Creation'!$AB$11:$AB$256)</f>
        <v>0</v>
      </c>
      <c r="I39" s="1352"/>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3"/>
      <c r="AF39" s="1353"/>
    </row>
    <row r="40" spans="1:32" x14ac:dyDescent="0.25">
      <c r="A40" s="757">
        <f>'D-1 Off-Site Habitat Baseline'!AF44</f>
        <v>0</v>
      </c>
      <c r="B40" s="764"/>
      <c r="C40" s="762">
        <f>SUMIF('D-1 Off-Site Habitat Baseline'!AF44:AF47,B40,'D-1 Off-Site Habitat Baseline'!T44:T47)</f>
        <v>0</v>
      </c>
      <c r="D40" s="1351">
        <f>SUMIF('D-1 Off-Site Habitat Baseline'!$AF$11:$AF$258,'Off-site gain site summary'!$B$7,'D-1 Off-Site Habitat Baseline'!$X$11:$X$258)</f>
        <v>0</v>
      </c>
      <c r="E40" s="1352"/>
      <c r="F40" s="1351">
        <f>SUMIF('D-3 Off-Site Habitat Enhancment'!$AU$12:$AU$258,'Off-site gain site summary'!B40,'D-3 Off-Site Habitat Enhancment'!$AQ$12:$AQ$258)</f>
        <v>0</v>
      </c>
      <c r="G40" s="1352"/>
      <c r="H40" s="1351">
        <f>SUMIF('D-2 Off-Site Habitat Creation'!$AF$11:$AF$256,'Off-site gain site summary'!B40,'D-2 Off-Site Habitat Creation'!$AB$11:$AB$256)</f>
        <v>0</v>
      </c>
      <c r="I40" s="1352"/>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3"/>
      <c r="AF40" s="1353"/>
    </row>
    <row r="41" spans="1:32" x14ac:dyDescent="0.25">
      <c r="A41" s="757">
        <f>'D-1 Off-Site Habitat Baseline'!AF45</f>
        <v>0</v>
      </c>
      <c r="B41" s="764"/>
      <c r="C41" s="762">
        <f>SUMIF('D-1 Off-Site Habitat Baseline'!AF45:AF48,B41,'D-1 Off-Site Habitat Baseline'!T45:T48)</f>
        <v>0</v>
      </c>
      <c r="D41" s="1351">
        <f>SUMIF('D-1 Off-Site Habitat Baseline'!$AF$11:$AF$258,'Off-site gain site summary'!$B$7,'D-1 Off-Site Habitat Baseline'!$X$11:$X$258)</f>
        <v>0</v>
      </c>
      <c r="E41" s="1352"/>
      <c r="F41" s="1351">
        <f>SUMIF('D-3 Off-Site Habitat Enhancment'!$AU$12:$AU$258,'Off-site gain site summary'!B41,'D-3 Off-Site Habitat Enhancment'!$AQ$12:$AQ$258)</f>
        <v>0</v>
      </c>
      <c r="G41" s="1352"/>
      <c r="H41" s="1351">
        <f>SUMIF('D-2 Off-Site Habitat Creation'!$AF$11:$AF$256,'Off-site gain site summary'!B41,'D-2 Off-Site Habitat Creation'!$AB$11:$AB$256)</f>
        <v>0</v>
      </c>
      <c r="I41" s="1352"/>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3"/>
      <c r="AF41" s="1353"/>
    </row>
    <row r="42" spans="1:32" x14ac:dyDescent="0.25">
      <c r="A42" s="757">
        <f>'D-1 Off-Site Habitat Baseline'!AF46</f>
        <v>0</v>
      </c>
      <c r="B42" s="764"/>
      <c r="C42" s="762">
        <f>SUMIF('D-1 Off-Site Habitat Baseline'!AF46:AF49,B42,'D-1 Off-Site Habitat Baseline'!T46:T49)</f>
        <v>0</v>
      </c>
      <c r="D42" s="1351">
        <f>SUMIF('D-1 Off-Site Habitat Baseline'!$AF$11:$AF$258,'Off-site gain site summary'!$B$7,'D-1 Off-Site Habitat Baseline'!$X$11:$X$258)</f>
        <v>0</v>
      </c>
      <c r="E42" s="1352"/>
      <c r="F42" s="1351">
        <f>SUMIF('D-3 Off-Site Habitat Enhancment'!$AU$12:$AU$258,'Off-site gain site summary'!B42,'D-3 Off-Site Habitat Enhancment'!$AQ$12:$AQ$258)</f>
        <v>0</v>
      </c>
      <c r="G42" s="1352"/>
      <c r="H42" s="1351">
        <f>SUMIF('D-2 Off-Site Habitat Creation'!$AF$11:$AF$256,'Off-site gain site summary'!B42,'D-2 Off-Site Habitat Creation'!$AB$11:$AB$256)</f>
        <v>0</v>
      </c>
      <c r="I42" s="1352"/>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3"/>
      <c r="AF42" s="1353"/>
    </row>
    <row r="43" spans="1:32" x14ac:dyDescent="0.25">
      <c r="A43" s="757">
        <f>'D-1 Off-Site Habitat Baseline'!AF47</f>
        <v>0</v>
      </c>
      <c r="B43" s="764"/>
      <c r="C43" s="762">
        <f>SUMIF('D-1 Off-Site Habitat Baseline'!AF47:AF50,B43,'D-1 Off-Site Habitat Baseline'!T47:T50)</f>
        <v>0</v>
      </c>
      <c r="D43" s="1351">
        <f>SUMIF('D-1 Off-Site Habitat Baseline'!$AF$11:$AF$258,'Off-site gain site summary'!$B$7,'D-1 Off-Site Habitat Baseline'!$X$11:$X$258)</f>
        <v>0</v>
      </c>
      <c r="E43" s="1352"/>
      <c r="F43" s="1351">
        <f>SUMIF('D-3 Off-Site Habitat Enhancment'!$AU$12:$AU$258,'Off-site gain site summary'!B43,'D-3 Off-Site Habitat Enhancment'!$AQ$12:$AQ$258)</f>
        <v>0</v>
      </c>
      <c r="G43" s="1352"/>
      <c r="H43" s="1351">
        <f>SUMIF('D-2 Off-Site Habitat Creation'!$AF$11:$AF$256,'Off-site gain site summary'!B43,'D-2 Off-Site Habitat Creation'!$AB$11:$AB$256)</f>
        <v>0</v>
      </c>
      <c r="I43" s="1352"/>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3"/>
      <c r="AF43" s="1353"/>
    </row>
    <row r="44" spans="1:32" x14ac:dyDescent="0.25">
      <c r="A44" s="757">
        <f>'D-1 Off-Site Habitat Baseline'!AF48</f>
        <v>0</v>
      </c>
      <c r="B44" s="764"/>
      <c r="C44" s="762">
        <f>SUMIF('D-1 Off-Site Habitat Baseline'!AF48:AF51,B44,'D-1 Off-Site Habitat Baseline'!T48:T51)</f>
        <v>0</v>
      </c>
      <c r="D44" s="1351">
        <f>SUMIF('D-1 Off-Site Habitat Baseline'!$AF$11:$AF$258,'Off-site gain site summary'!$B$7,'D-1 Off-Site Habitat Baseline'!$X$11:$X$258)</f>
        <v>0</v>
      </c>
      <c r="E44" s="1352"/>
      <c r="F44" s="1351">
        <f>SUMIF('D-3 Off-Site Habitat Enhancment'!$AU$12:$AU$258,'Off-site gain site summary'!B44,'D-3 Off-Site Habitat Enhancment'!$AQ$12:$AQ$258)</f>
        <v>0</v>
      </c>
      <c r="G44" s="1352"/>
      <c r="H44" s="1351">
        <f>SUMIF('D-2 Off-Site Habitat Creation'!$AF$11:$AF$256,'Off-site gain site summary'!B44,'D-2 Off-Site Habitat Creation'!$AB$11:$AB$256)</f>
        <v>0</v>
      </c>
      <c r="I44" s="1352"/>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3"/>
      <c r="AF44" s="1353"/>
    </row>
    <row r="45" spans="1:32" x14ac:dyDescent="0.25">
      <c r="A45" s="757">
        <f>'D-1 Off-Site Habitat Baseline'!AF49</f>
        <v>0</v>
      </c>
      <c r="B45" s="764"/>
      <c r="C45" s="762">
        <f>SUMIF('D-1 Off-Site Habitat Baseline'!AF49:AF52,B45,'D-1 Off-Site Habitat Baseline'!T49:T52)</f>
        <v>0</v>
      </c>
      <c r="D45" s="1351">
        <f>SUMIF('D-1 Off-Site Habitat Baseline'!$AF$11:$AF$258,'Off-site gain site summary'!$B$7,'D-1 Off-Site Habitat Baseline'!$X$11:$X$258)</f>
        <v>0</v>
      </c>
      <c r="E45" s="1352"/>
      <c r="F45" s="1351">
        <f>SUMIF('D-3 Off-Site Habitat Enhancment'!$AU$12:$AU$258,'Off-site gain site summary'!B45,'D-3 Off-Site Habitat Enhancment'!$AQ$12:$AQ$258)</f>
        <v>0</v>
      </c>
      <c r="G45" s="1352"/>
      <c r="H45" s="1351">
        <f>SUMIF('D-2 Off-Site Habitat Creation'!$AF$11:$AF$256,'Off-site gain site summary'!B45,'D-2 Off-Site Habitat Creation'!$AB$11:$AB$256)</f>
        <v>0</v>
      </c>
      <c r="I45" s="1352"/>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3"/>
      <c r="AF45" s="1353"/>
    </row>
    <row r="46" spans="1:32" x14ac:dyDescent="0.25">
      <c r="A46" s="757">
        <f>'D-1 Off-Site Habitat Baseline'!AF50</f>
        <v>0</v>
      </c>
      <c r="B46" s="764"/>
      <c r="C46" s="762">
        <f>SUMIF('D-1 Off-Site Habitat Baseline'!AF50:AF53,B46,'D-1 Off-Site Habitat Baseline'!T50:T53)</f>
        <v>0</v>
      </c>
      <c r="D46" s="1351">
        <f>SUMIF('D-1 Off-Site Habitat Baseline'!$AF$11:$AF$258,'Off-site gain site summary'!$B$7,'D-1 Off-Site Habitat Baseline'!$X$11:$X$258)</f>
        <v>0</v>
      </c>
      <c r="E46" s="1352"/>
      <c r="F46" s="1351">
        <f>SUMIF('D-3 Off-Site Habitat Enhancment'!$AU$12:$AU$258,'Off-site gain site summary'!B46,'D-3 Off-Site Habitat Enhancment'!$AQ$12:$AQ$258)</f>
        <v>0</v>
      </c>
      <c r="G46" s="1352"/>
      <c r="H46" s="1351">
        <f>SUMIF('D-2 Off-Site Habitat Creation'!$AF$11:$AF$256,'Off-site gain site summary'!B46,'D-2 Off-Site Habitat Creation'!$AB$11:$AB$256)</f>
        <v>0</v>
      </c>
      <c r="I46" s="1352"/>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3"/>
      <c r="AF46" s="1353"/>
    </row>
    <row r="47" spans="1:32" x14ac:dyDescent="0.25">
      <c r="A47" s="757">
        <f>'D-1 Off-Site Habitat Baseline'!AF51</f>
        <v>0</v>
      </c>
      <c r="B47" s="764"/>
      <c r="C47" s="762">
        <f>SUMIF('D-1 Off-Site Habitat Baseline'!AF51:AF54,B47,'D-1 Off-Site Habitat Baseline'!T51:T54)</f>
        <v>0</v>
      </c>
      <c r="D47" s="1351">
        <f>SUMIF('D-1 Off-Site Habitat Baseline'!$AF$11:$AF$258,'Off-site gain site summary'!$B$7,'D-1 Off-Site Habitat Baseline'!$X$11:$X$258)</f>
        <v>0</v>
      </c>
      <c r="E47" s="1352"/>
      <c r="F47" s="1351">
        <f>SUMIF('D-3 Off-Site Habitat Enhancment'!$AU$12:$AU$258,'Off-site gain site summary'!B47,'D-3 Off-Site Habitat Enhancment'!$AQ$12:$AQ$258)</f>
        <v>0</v>
      </c>
      <c r="G47" s="1352"/>
      <c r="H47" s="1351">
        <f>SUMIF('D-2 Off-Site Habitat Creation'!$AF$11:$AF$256,'Off-site gain site summary'!B47,'D-2 Off-Site Habitat Creation'!$AB$11:$AB$256)</f>
        <v>0</v>
      </c>
      <c r="I47" s="1352"/>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3"/>
      <c r="AF47" s="1353"/>
    </row>
    <row r="48" spans="1:32" x14ac:dyDescent="0.25">
      <c r="A48" s="757">
        <f>'D-1 Off-Site Habitat Baseline'!AF52</f>
        <v>0</v>
      </c>
      <c r="B48" s="764"/>
      <c r="C48" s="762">
        <f>SUMIF('D-1 Off-Site Habitat Baseline'!AF52:AF55,B48,'D-1 Off-Site Habitat Baseline'!T52:T55)</f>
        <v>0</v>
      </c>
      <c r="D48" s="1351">
        <f>SUMIF('D-1 Off-Site Habitat Baseline'!$AF$11:$AF$258,'Off-site gain site summary'!$B$7,'D-1 Off-Site Habitat Baseline'!$X$11:$X$258)</f>
        <v>0</v>
      </c>
      <c r="E48" s="1352"/>
      <c r="F48" s="1351">
        <f>SUMIF('D-3 Off-Site Habitat Enhancment'!$AU$12:$AU$258,'Off-site gain site summary'!B48,'D-3 Off-Site Habitat Enhancment'!$AQ$12:$AQ$258)</f>
        <v>0</v>
      </c>
      <c r="G48" s="1352"/>
      <c r="H48" s="1351">
        <f>SUMIF('D-2 Off-Site Habitat Creation'!$AF$11:$AF$256,'Off-site gain site summary'!B48,'D-2 Off-Site Habitat Creation'!$AB$11:$AB$256)</f>
        <v>0</v>
      </c>
      <c r="I48" s="1352"/>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3"/>
      <c r="AF48" s="1353"/>
    </row>
    <row r="49" spans="1:32" x14ac:dyDescent="0.25">
      <c r="A49" s="757">
        <f>'D-1 Off-Site Habitat Baseline'!AF53</f>
        <v>0</v>
      </c>
      <c r="B49" s="764"/>
      <c r="C49" s="762">
        <f>SUMIF('D-1 Off-Site Habitat Baseline'!AF53:AF56,B49,'D-1 Off-Site Habitat Baseline'!T53:T56)</f>
        <v>0</v>
      </c>
      <c r="D49" s="1351">
        <f>SUMIF('D-1 Off-Site Habitat Baseline'!$AF$11:$AF$258,'Off-site gain site summary'!$B$7,'D-1 Off-Site Habitat Baseline'!$X$11:$X$258)</f>
        <v>0</v>
      </c>
      <c r="E49" s="1352"/>
      <c r="F49" s="1351">
        <f>SUMIF('D-3 Off-Site Habitat Enhancment'!$AU$12:$AU$258,'Off-site gain site summary'!B49,'D-3 Off-Site Habitat Enhancment'!$AQ$12:$AQ$258)</f>
        <v>0</v>
      </c>
      <c r="G49" s="1352"/>
      <c r="H49" s="1351">
        <f>SUMIF('D-2 Off-Site Habitat Creation'!$AF$11:$AF$256,'Off-site gain site summary'!B49,'D-2 Off-Site Habitat Creation'!$AB$11:$AB$256)</f>
        <v>0</v>
      </c>
      <c r="I49" s="1352"/>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3"/>
      <c r="AF49" s="1353"/>
    </row>
    <row r="50" spans="1:32" x14ac:dyDescent="0.25">
      <c r="A50" s="757">
        <f>'D-1 Off-Site Habitat Baseline'!AF54</f>
        <v>0</v>
      </c>
      <c r="B50" s="764"/>
      <c r="C50" s="762">
        <f>SUMIF('D-1 Off-Site Habitat Baseline'!AF54:AF57,B50,'D-1 Off-Site Habitat Baseline'!T54:T57)</f>
        <v>0</v>
      </c>
      <c r="D50" s="1351">
        <f>SUMIF('D-1 Off-Site Habitat Baseline'!$AF$11:$AF$258,'Off-site gain site summary'!$B$7,'D-1 Off-Site Habitat Baseline'!$X$11:$X$258)</f>
        <v>0</v>
      </c>
      <c r="E50" s="1352"/>
      <c r="F50" s="1351">
        <f>SUMIF('D-3 Off-Site Habitat Enhancment'!$AU$12:$AU$258,'Off-site gain site summary'!B50,'D-3 Off-Site Habitat Enhancment'!$AQ$12:$AQ$258)</f>
        <v>0</v>
      </c>
      <c r="G50" s="1352"/>
      <c r="H50" s="1351">
        <f>SUMIF('D-2 Off-Site Habitat Creation'!$AF$11:$AF$256,'Off-site gain site summary'!B50,'D-2 Off-Site Habitat Creation'!$AB$11:$AB$256)</f>
        <v>0</v>
      </c>
      <c r="I50" s="1352"/>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3"/>
      <c r="AF50" s="1353"/>
    </row>
    <row r="51" spans="1:32" x14ac:dyDescent="0.25">
      <c r="A51" s="757">
        <f>'D-1 Off-Site Habitat Baseline'!AF55</f>
        <v>0</v>
      </c>
      <c r="B51" s="764"/>
      <c r="C51" s="762">
        <f>SUMIF('D-1 Off-Site Habitat Baseline'!AF55:AF58,B51,'D-1 Off-Site Habitat Baseline'!T55:T58)</f>
        <v>0</v>
      </c>
      <c r="D51" s="1351">
        <f>SUMIF('D-1 Off-Site Habitat Baseline'!$AF$11:$AF$258,'Off-site gain site summary'!$B$7,'D-1 Off-Site Habitat Baseline'!$X$11:$X$258)</f>
        <v>0</v>
      </c>
      <c r="E51" s="1352"/>
      <c r="F51" s="1351">
        <f>SUMIF('D-3 Off-Site Habitat Enhancment'!$AU$12:$AU$258,'Off-site gain site summary'!B51,'D-3 Off-Site Habitat Enhancment'!$AQ$12:$AQ$258)</f>
        <v>0</v>
      </c>
      <c r="G51" s="1352"/>
      <c r="H51" s="1351">
        <f>SUMIF('D-2 Off-Site Habitat Creation'!$AF$11:$AF$256,'Off-site gain site summary'!B51,'D-2 Off-Site Habitat Creation'!$AB$11:$AB$256)</f>
        <v>0</v>
      </c>
      <c r="I51" s="1352"/>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3"/>
      <c r="AF51" s="1353"/>
    </row>
    <row r="52" spans="1:32" x14ac:dyDescent="0.25">
      <c r="A52" s="757">
        <f>'D-1 Off-Site Habitat Baseline'!AF56</f>
        <v>0</v>
      </c>
      <c r="B52" s="764"/>
      <c r="C52" s="762">
        <f>SUMIF('D-1 Off-Site Habitat Baseline'!AF56:AF59,B52,'D-1 Off-Site Habitat Baseline'!T56:T59)</f>
        <v>0</v>
      </c>
      <c r="D52" s="1351">
        <f>SUMIF('D-1 Off-Site Habitat Baseline'!$AF$11:$AF$258,'Off-site gain site summary'!$B$7,'D-1 Off-Site Habitat Baseline'!$X$11:$X$258)</f>
        <v>0</v>
      </c>
      <c r="E52" s="1352"/>
      <c r="F52" s="1351">
        <f>SUMIF('D-3 Off-Site Habitat Enhancment'!$AU$12:$AU$258,'Off-site gain site summary'!B52,'D-3 Off-Site Habitat Enhancment'!$AQ$12:$AQ$258)</f>
        <v>0</v>
      </c>
      <c r="G52" s="1352"/>
      <c r="H52" s="1351">
        <f>SUMIF('D-2 Off-Site Habitat Creation'!$AF$11:$AF$256,'Off-site gain site summary'!B52,'D-2 Off-Site Habitat Creation'!$AB$11:$AB$256)</f>
        <v>0</v>
      </c>
      <c r="I52" s="1352"/>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3"/>
      <c r="AF52" s="1353"/>
    </row>
    <row r="53" spans="1:32" x14ac:dyDescent="0.25">
      <c r="A53" s="757">
        <f>'D-1 Off-Site Habitat Baseline'!AF57</f>
        <v>0</v>
      </c>
      <c r="B53" s="764"/>
      <c r="C53" s="762">
        <f>SUMIF('D-1 Off-Site Habitat Baseline'!AF57:AF60,B53,'D-1 Off-Site Habitat Baseline'!T57:T60)</f>
        <v>0</v>
      </c>
      <c r="D53" s="1351">
        <f>SUMIF('D-1 Off-Site Habitat Baseline'!$AF$11:$AF$258,'Off-site gain site summary'!$B$7,'D-1 Off-Site Habitat Baseline'!$X$11:$X$258)</f>
        <v>0</v>
      </c>
      <c r="E53" s="1352"/>
      <c r="F53" s="1351">
        <f>SUMIF('D-3 Off-Site Habitat Enhancment'!$AU$12:$AU$258,'Off-site gain site summary'!B53,'D-3 Off-Site Habitat Enhancment'!$AQ$12:$AQ$258)</f>
        <v>0</v>
      </c>
      <c r="G53" s="1352"/>
      <c r="H53" s="1351">
        <f>SUMIF('D-2 Off-Site Habitat Creation'!$AF$11:$AF$256,'Off-site gain site summary'!B53,'D-2 Off-Site Habitat Creation'!$AB$11:$AB$256)</f>
        <v>0</v>
      </c>
      <c r="I53" s="1352"/>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3"/>
      <c r="AF53" s="1353"/>
    </row>
    <row r="54" spans="1:32" x14ac:dyDescent="0.25">
      <c r="A54" s="757">
        <f>'D-1 Off-Site Habitat Baseline'!AF58</f>
        <v>0</v>
      </c>
      <c r="B54" s="764"/>
      <c r="C54" s="762">
        <f>SUMIF('D-1 Off-Site Habitat Baseline'!AF58:AF61,B54,'D-1 Off-Site Habitat Baseline'!T58:T61)</f>
        <v>0</v>
      </c>
      <c r="D54" s="1351">
        <f>SUMIF('D-1 Off-Site Habitat Baseline'!$AF$11:$AF$258,'Off-site gain site summary'!$B$7,'D-1 Off-Site Habitat Baseline'!$X$11:$X$258)</f>
        <v>0</v>
      </c>
      <c r="E54" s="1352"/>
      <c r="F54" s="1351">
        <f>SUMIF('D-3 Off-Site Habitat Enhancment'!$AU$12:$AU$258,'Off-site gain site summary'!B54,'D-3 Off-Site Habitat Enhancment'!$AQ$12:$AQ$258)</f>
        <v>0</v>
      </c>
      <c r="G54" s="1352"/>
      <c r="H54" s="1351">
        <f>SUMIF('D-2 Off-Site Habitat Creation'!$AF$11:$AF$256,'Off-site gain site summary'!B54,'D-2 Off-Site Habitat Creation'!$AB$11:$AB$256)</f>
        <v>0</v>
      </c>
      <c r="I54" s="1352"/>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3"/>
      <c r="AF54" s="1353"/>
    </row>
    <row r="55" spans="1:32" x14ac:dyDescent="0.25">
      <c r="A55" s="757">
        <f>'D-1 Off-Site Habitat Baseline'!AF59</f>
        <v>0</v>
      </c>
      <c r="B55" s="764"/>
      <c r="C55" s="762">
        <f>SUMIF('D-1 Off-Site Habitat Baseline'!AF59:AF62,B55,'D-1 Off-Site Habitat Baseline'!T59:T62)</f>
        <v>0</v>
      </c>
      <c r="D55" s="1351">
        <f>SUMIF('D-1 Off-Site Habitat Baseline'!$AF$11:$AF$258,'Off-site gain site summary'!$B$7,'D-1 Off-Site Habitat Baseline'!$X$11:$X$258)</f>
        <v>0</v>
      </c>
      <c r="E55" s="1352"/>
      <c r="F55" s="1351">
        <f>SUMIF('D-3 Off-Site Habitat Enhancment'!$AU$12:$AU$258,'Off-site gain site summary'!B55,'D-3 Off-Site Habitat Enhancment'!$AQ$12:$AQ$258)</f>
        <v>0</v>
      </c>
      <c r="G55" s="1352"/>
      <c r="H55" s="1351">
        <f>SUMIF('D-2 Off-Site Habitat Creation'!$AF$11:$AF$256,'Off-site gain site summary'!B55,'D-2 Off-Site Habitat Creation'!$AB$11:$AB$256)</f>
        <v>0</v>
      </c>
      <c r="I55" s="1352"/>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3"/>
      <c r="AF55" s="1353"/>
    </row>
    <row r="56" spans="1:32" x14ac:dyDescent="0.25">
      <c r="A56" s="757">
        <f>'D-1 Off-Site Habitat Baseline'!AF60</f>
        <v>0</v>
      </c>
      <c r="B56" s="764"/>
      <c r="C56" s="762">
        <f>SUMIF('D-1 Off-Site Habitat Baseline'!AF60:AF63,B56,'D-1 Off-Site Habitat Baseline'!T60:T63)</f>
        <v>0</v>
      </c>
      <c r="D56" s="1351">
        <f>SUMIF('D-1 Off-Site Habitat Baseline'!$AF$11:$AF$258,'Off-site gain site summary'!$B$7,'D-1 Off-Site Habitat Baseline'!$X$11:$X$258)</f>
        <v>0</v>
      </c>
      <c r="E56" s="1352"/>
      <c r="F56" s="1351">
        <f>SUMIF('D-3 Off-Site Habitat Enhancment'!$AU$12:$AU$258,'Off-site gain site summary'!B56,'D-3 Off-Site Habitat Enhancment'!$AQ$12:$AQ$258)</f>
        <v>0</v>
      </c>
      <c r="G56" s="1352"/>
      <c r="H56" s="1351">
        <f>SUMIF('D-2 Off-Site Habitat Creation'!$AF$11:$AF$256,'Off-site gain site summary'!B56,'D-2 Off-Site Habitat Creation'!$AB$11:$AB$256)</f>
        <v>0</v>
      </c>
      <c r="I56" s="1352"/>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3"/>
      <c r="AF56" s="1353"/>
    </row>
    <row r="57" spans="1:32" x14ac:dyDescent="0.25">
      <c r="A57" s="757">
        <f>'D-1 Off-Site Habitat Baseline'!AF61</f>
        <v>0</v>
      </c>
      <c r="B57" s="764"/>
      <c r="C57" s="762">
        <f>SUMIF('D-1 Off-Site Habitat Baseline'!AF61:AF64,B57,'D-1 Off-Site Habitat Baseline'!T61:T64)</f>
        <v>0</v>
      </c>
      <c r="D57" s="1351">
        <f>SUMIF('D-1 Off-Site Habitat Baseline'!$AF$11:$AF$258,'Off-site gain site summary'!$B$7,'D-1 Off-Site Habitat Baseline'!$X$11:$X$258)</f>
        <v>0</v>
      </c>
      <c r="E57" s="1352"/>
      <c r="F57" s="1351">
        <f>SUMIF('D-3 Off-Site Habitat Enhancment'!$AU$12:$AU$258,'Off-site gain site summary'!B57,'D-3 Off-Site Habitat Enhancment'!$AQ$12:$AQ$258)</f>
        <v>0</v>
      </c>
      <c r="G57" s="1352"/>
      <c r="H57" s="1351">
        <f>SUMIF('D-2 Off-Site Habitat Creation'!$AF$11:$AF$256,'Off-site gain site summary'!B57,'D-2 Off-Site Habitat Creation'!$AB$11:$AB$256)</f>
        <v>0</v>
      </c>
      <c r="I57" s="1352"/>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3"/>
      <c r="AF57" s="1353"/>
    </row>
    <row r="58" spans="1:32" x14ac:dyDescent="0.25">
      <c r="A58" s="757">
        <f>'D-1 Off-Site Habitat Baseline'!AF62</f>
        <v>0</v>
      </c>
      <c r="B58" s="764"/>
      <c r="C58" s="762">
        <f>SUMIF('D-1 Off-Site Habitat Baseline'!AF62:AF65,B58,'D-1 Off-Site Habitat Baseline'!T62:T65)</f>
        <v>0</v>
      </c>
      <c r="D58" s="1351">
        <f>SUMIF('D-1 Off-Site Habitat Baseline'!$AF$11:$AF$258,'Off-site gain site summary'!$B$7,'D-1 Off-Site Habitat Baseline'!$X$11:$X$258)</f>
        <v>0</v>
      </c>
      <c r="E58" s="1352"/>
      <c r="F58" s="1351">
        <f>SUMIF('D-3 Off-Site Habitat Enhancment'!$AU$12:$AU$258,'Off-site gain site summary'!B58,'D-3 Off-Site Habitat Enhancment'!$AQ$12:$AQ$258)</f>
        <v>0</v>
      </c>
      <c r="G58" s="1352"/>
      <c r="H58" s="1351">
        <f>SUMIF('D-2 Off-Site Habitat Creation'!$AF$11:$AF$256,'Off-site gain site summary'!B58,'D-2 Off-Site Habitat Creation'!$AB$11:$AB$256)</f>
        <v>0</v>
      </c>
      <c r="I58" s="1352"/>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3"/>
      <c r="AF58" s="1353"/>
    </row>
    <row r="59" spans="1:32" x14ac:dyDescent="0.25">
      <c r="A59" s="757">
        <f>'D-1 Off-Site Habitat Baseline'!AF63</f>
        <v>0</v>
      </c>
      <c r="B59" s="764"/>
      <c r="C59" s="762">
        <f>SUMIF('D-1 Off-Site Habitat Baseline'!AF63:AF66,B59,'D-1 Off-Site Habitat Baseline'!T63:T66)</f>
        <v>0</v>
      </c>
      <c r="D59" s="1351">
        <f>SUMIF('D-1 Off-Site Habitat Baseline'!$AF$11:$AF$258,'Off-site gain site summary'!$B$7,'D-1 Off-Site Habitat Baseline'!$X$11:$X$258)</f>
        <v>0</v>
      </c>
      <c r="E59" s="1352"/>
      <c r="F59" s="1351">
        <f>SUMIF('D-3 Off-Site Habitat Enhancment'!$AU$12:$AU$258,'Off-site gain site summary'!B59,'D-3 Off-Site Habitat Enhancment'!$AQ$12:$AQ$258)</f>
        <v>0</v>
      </c>
      <c r="G59" s="1352"/>
      <c r="H59" s="1351">
        <f>SUMIF('D-2 Off-Site Habitat Creation'!$AF$11:$AF$256,'Off-site gain site summary'!B59,'D-2 Off-Site Habitat Creation'!$AB$11:$AB$256)</f>
        <v>0</v>
      </c>
      <c r="I59" s="1352"/>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3"/>
      <c r="AF59" s="1353"/>
    </row>
    <row r="60" spans="1:32" x14ac:dyDescent="0.25">
      <c r="A60" s="757">
        <f>'D-1 Off-Site Habitat Baseline'!AF64</f>
        <v>0</v>
      </c>
      <c r="B60" s="764"/>
      <c r="C60" s="762">
        <f>SUMIF('D-1 Off-Site Habitat Baseline'!AF64:AF67,B60,'D-1 Off-Site Habitat Baseline'!T64:T67)</f>
        <v>0</v>
      </c>
      <c r="D60" s="1351">
        <f>SUMIF('D-1 Off-Site Habitat Baseline'!$AF$11:$AF$258,'Off-site gain site summary'!$B$7,'D-1 Off-Site Habitat Baseline'!$X$11:$X$258)</f>
        <v>0</v>
      </c>
      <c r="E60" s="1352"/>
      <c r="F60" s="1351">
        <f>SUMIF('D-3 Off-Site Habitat Enhancment'!$AU$12:$AU$258,'Off-site gain site summary'!B60,'D-3 Off-Site Habitat Enhancment'!$AQ$12:$AQ$258)</f>
        <v>0</v>
      </c>
      <c r="G60" s="1352"/>
      <c r="H60" s="1351">
        <f>SUMIF('D-2 Off-Site Habitat Creation'!$AF$11:$AF$256,'Off-site gain site summary'!B60,'D-2 Off-Site Habitat Creation'!$AB$11:$AB$256)</f>
        <v>0</v>
      </c>
      <c r="I60" s="1352"/>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3"/>
      <c r="AF60" s="1353"/>
    </row>
    <row r="61" spans="1:32" x14ac:dyDescent="0.25">
      <c r="A61" s="757">
        <f>'D-1 Off-Site Habitat Baseline'!AF65</f>
        <v>0</v>
      </c>
      <c r="B61" s="764"/>
      <c r="C61" s="762">
        <f>SUMIF('D-1 Off-Site Habitat Baseline'!AF65:AF68,B61,'D-1 Off-Site Habitat Baseline'!T65:T68)</f>
        <v>0</v>
      </c>
      <c r="D61" s="1351">
        <f>SUMIF('D-1 Off-Site Habitat Baseline'!$AF$11:$AF$258,'Off-site gain site summary'!$B$7,'D-1 Off-Site Habitat Baseline'!$X$11:$X$258)</f>
        <v>0</v>
      </c>
      <c r="E61" s="1352"/>
      <c r="F61" s="1351">
        <f>SUMIF('D-3 Off-Site Habitat Enhancment'!$AU$12:$AU$258,'Off-site gain site summary'!B61,'D-3 Off-Site Habitat Enhancment'!$AQ$12:$AQ$258)</f>
        <v>0</v>
      </c>
      <c r="G61" s="1352"/>
      <c r="H61" s="1351">
        <f>SUMIF('D-2 Off-Site Habitat Creation'!$AF$11:$AF$256,'Off-site gain site summary'!B61,'D-2 Off-Site Habitat Creation'!$AB$11:$AB$256)</f>
        <v>0</v>
      </c>
      <c r="I61" s="1352"/>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3"/>
      <c r="AF61" s="1353"/>
    </row>
    <row r="62" spans="1:32" x14ac:dyDescent="0.25">
      <c r="A62" s="757">
        <f>'D-1 Off-Site Habitat Baseline'!AF66</f>
        <v>0</v>
      </c>
      <c r="B62" s="764"/>
      <c r="C62" s="762">
        <f>SUMIF('D-1 Off-Site Habitat Baseline'!AF66:AF69,B62,'D-1 Off-Site Habitat Baseline'!T66:T69)</f>
        <v>0</v>
      </c>
      <c r="D62" s="1351">
        <f>SUMIF('D-1 Off-Site Habitat Baseline'!$AF$11:$AF$258,'Off-site gain site summary'!$B$7,'D-1 Off-Site Habitat Baseline'!$X$11:$X$258)</f>
        <v>0</v>
      </c>
      <c r="E62" s="1352"/>
      <c r="F62" s="1351">
        <f>SUMIF('D-3 Off-Site Habitat Enhancment'!$AU$12:$AU$258,'Off-site gain site summary'!B62,'D-3 Off-Site Habitat Enhancment'!$AQ$12:$AQ$258)</f>
        <v>0</v>
      </c>
      <c r="G62" s="1352"/>
      <c r="H62" s="1351">
        <f>SUMIF('D-2 Off-Site Habitat Creation'!$AF$11:$AF$256,'Off-site gain site summary'!B62,'D-2 Off-Site Habitat Creation'!$AB$11:$AB$256)</f>
        <v>0</v>
      </c>
      <c r="I62" s="1352"/>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3"/>
      <c r="AF62" s="1353"/>
    </row>
    <row r="63" spans="1:32" x14ac:dyDescent="0.25">
      <c r="A63" s="757">
        <f>'D-1 Off-Site Habitat Baseline'!AF67</f>
        <v>0</v>
      </c>
      <c r="B63" s="764"/>
      <c r="C63" s="762">
        <f>SUMIF('D-1 Off-Site Habitat Baseline'!AF67:AF70,B63,'D-1 Off-Site Habitat Baseline'!T67:T70)</f>
        <v>0</v>
      </c>
      <c r="D63" s="1351">
        <f>SUMIF('D-1 Off-Site Habitat Baseline'!$AF$11:$AF$258,'Off-site gain site summary'!$B$7,'D-1 Off-Site Habitat Baseline'!$X$11:$X$258)</f>
        <v>0</v>
      </c>
      <c r="E63" s="1352"/>
      <c r="F63" s="1351">
        <f>SUMIF('D-3 Off-Site Habitat Enhancment'!$AU$12:$AU$258,'Off-site gain site summary'!B63,'D-3 Off-Site Habitat Enhancment'!$AQ$12:$AQ$258)</f>
        <v>0</v>
      </c>
      <c r="G63" s="1352"/>
      <c r="H63" s="1351">
        <f>SUMIF('D-2 Off-Site Habitat Creation'!$AF$11:$AF$256,'Off-site gain site summary'!B63,'D-2 Off-Site Habitat Creation'!$AB$11:$AB$256)</f>
        <v>0</v>
      </c>
      <c r="I63" s="1352"/>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3"/>
      <c r="AF63" s="1353"/>
    </row>
    <row r="64" spans="1:32" x14ac:dyDescent="0.25">
      <c r="A64" s="757">
        <f>'D-1 Off-Site Habitat Baseline'!AF68</f>
        <v>0</v>
      </c>
      <c r="B64" s="764"/>
      <c r="C64" s="762">
        <f>SUMIF('D-1 Off-Site Habitat Baseline'!AF68:AF71,B64,'D-1 Off-Site Habitat Baseline'!T68:T71)</f>
        <v>0</v>
      </c>
      <c r="D64" s="1351">
        <f>SUMIF('D-1 Off-Site Habitat Baseline'!$AF$11:$AF$258,'Off-site gain site summary'!$B$7,'D-1 Off-Site Habitat Baseline'!$X$11:$X$258)</f>
        <v>0</v>
      </c>
      <c r="E64" s="1352"/>
      <c r="F64" s="1351">
        <f>SUMIF('D-3 Off-Site Habitat Enhancment'!$AU$12:$AU$258,'Off-site gain site summary'!B64,'D-3 Off-Site Habitat Enhancment'!$AQ$12:$AQ$258)</f>
        <v>0</v>
      </c>
      <c r="G64" s="1352"/>
      <c r="H64" s="1351">
        <f>SUMIF('D-2 Off-Site Habitat Creation'!$AF$11:$AF$256,'Off-site gain site summary'!B64,'D-2 Off-Site Habitat Creation'!$AB$11:$AB$256)</f>
        <v>0</v>
      </c>
      <c r="I64" s="1352"/>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3"/>
      <c r="AF64" s="1353"/>
    </row>
    <row r="65" spans="1:32" x14ac:dyDescent="0.25">
      <c r="A65" s="757">
        <f>'D-1 Off-Site Habitat Baseline'!AF69</f>
        <v>0</v>
      </c>
      <c r="B65" s="764"/>
      <c r="C65" s="762">
        <f>SUMIF('D-1 Off-Site Habitat Baseline'!AF69:AF72,B65,'D-1 Off-Site Habitat Baseline'!T69:T72)</f>
        <v>0</v>
      </c>
      <c r="D65" s="1351">
        <f>SUMIF('D-1 Off-Site Habitat Baseline'!$AF$11:$AF$258,'Off-site gain site summary'!$B$7,'D-1 Off-Site Habitat Baseline'!$X$11:$X$258)</f>
        <v>0</v>
      </c>
      <c r="E65" s="1352"/>
      <c r="F65" s="1351">
        <f>SUMIF('D-3 Off-Site Habitat Enhancment'!$AU$12:$AU$258,'Off-site gain site summary'!B65,'D-3 Off-Site Habitat Enhancment'!$AQ$12:$AQ$258)</f>
        <v>0</v>
      </c>
      <c r="G65" s="1352"/>
      <c r="H65" s="1351">
        <f>SUMIF('D-2 Off-Site Habitat Creation'!$AF$11:$AF$256,'Off-site gain site summary'!B65,'D-2 Off-Site Habitat Creation'!$AB$11:$AB$256)</f>
        <v>0</v>
      </c>
      <c r="I65" s="1352"/>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3"/>
      <c r="AF65" s="1353"/>
    </row>
    <row r="66" spans="1:32" x14ac:dyDescent="0.25">
      <c r="A66" s="757">
        <f>'D-1 Off-Site Habitat Baseline'!AF70</f>
        <v>0</v>
      </c>
      <c r="B66" s="764"/>
      <c r="C66" s="762">
        <f>SUMIF('D-1 Off-Site Habitat Baseline'!AF70:AF73,B66,'D-1 Off-Site Habitat Baseline'!T70:T73)</f>
        <v>0</v>
      </c>
      <c r="D66" s="1351">
        <f>SUMIF('D-1 Off-Site Habitat Baseline'!$AF$11:$AF$258,'Off-site gain site summary'!$B$7,'D-1 Off-Site Habitat Baseline'!$X$11:$X$258)</f>
        <v>0</v>
      </c>
      <c r="E66" s="1352"/>
      <c r="F66" s="1351">
        <f>SUMIF('D-3 Off-Site Habitat Enhancment'!$AU$12:$AU$258,'Off-site gain site summary'!B66,'D-3 Off-Site Habitat Enhancment'!$AQ$12:$AQ$258)</f>
        <v>0</v>
      </c>
      <c r="G66" s="1352"/>
      <c r="H66" s="1351">
        <f>SUMIF('D-2 Off-Site Habitat Creation'!$AF$11:$AF$256,'Off-site gain site summary'!B66,'D-2 Off-Site Habitat Creation'!$AB$11:$AB$256)</f>
        <v>0</v>
      </c>
      <c r="I66" s="1352"/>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3"/>
      <c r="AF66" s="1353"/>
    </row>
    <row r="67" spans="1:32" x14ac:dyDescent="0.25">
      <c r="A67" s="757">
        <f>'D-1 Off-Site Habitat Baseline'!AF71</f>
        <v>0</v>
      </c>
      <c r="B67" s="764"/>
      <c r="C67" s="762">
        <f>SUMIF('D-1 Off-Site Habitat Baseline'!AF71:AF74,B67,'D-1 Off-Site Habitat Baseline'!T71:T74)</f>
        <v>0</v>
      </c>
      <c r="D67" s="1351">
        <f>SUMIF('D-1 Off-Site Habitat Baseline'!$AF$11:$AF$258,'Off-site gain site summary'!$B$7,'D-1 Off-Site Habitat Baseline'!$X$11:$X$258)</f>
        <v>0</v>
      </c>
      <c r="E67" s="1352"/>
      <c r="F67" s="1351">
        <f>SUMIF('D-3 Off-Site Habitat Enhancment'!$AU$12:$AU$258,'Off-site gain site summary'!B67,'D-3 Off-Site Habitat Enhancment'!$AQ$12:$AQ$258)</f>
        <v>0</v>
      </c>
      <c r="G67" s="1352"/>
      <c r="H67" s="1351">
        <f>SUMIF('D-2 Off-Site Habitat Creation'!$AF$11:$AF$256,'Off-site gain site summary'!B67,'D-2 Off-Site Habitat Creation'!$AB$11:$AB$256)</f>
        <v>0</v>
      </c>
      <c r="I67" s="1352"/>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3"/>
      <c r="AF67" s="1353"/>
    </row>
    <row r="68" spans="1:32" x14ac:dyDescent="0.25">
      <c r="A68" s="757">
        <f>'D-1 Off-Site Habitat Baseline'!AF72</f>
        <v>0</v>
      </c>
      <c r="B68" s="764"/>
      <c r="C68" s="762">
        <f>SUMIF('D-1 Off-Site Habitat Baseline'!AF72:AF75,B68,'D-1 Off-Site Habitat Baseline'!T72:T75)</f>
        <v>0</v>
      </c>
      <c r="D68" s="1351">
        <f>SUMIF('D-1 Off-Site Habitat Baseline'!$AF$11:$AF$258,'Off-site gain site summary'!$B$7,'D-1 Off-Site Habitat Baseline'!$X$11:$X$258)</f>
        <v>0</v>
      </c>
      <c r="E68" s="1352"/>
      <c r="F68" s="1351">
        <f>SUMIF('D-3 Off-Site Habitat Enhancment'!$AU$12:$AU$258,'Off-site gain site summary'!B68,'D-3 Off-Site Habitat Enhancment'!$AQ$12:$AQ$258)</f>
        <v>0</v>
      </c>
      <c r="G68" s="1352"/>
      <c r="H68" s="1351">
        <f>SUMIF('D-2 Off-Site Habitat Creation'!$AF$11:$AF$256,'Off-site gain site summary'!B68,'D-2 Off-Site Habitat Creation'!$AB$11:$AB$256)</f>
        <v>0</v>
      </c>
      <c r="I68" s="1352"/>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3"/>
      <c r="AF68" s="1353"/>
    </row>
    <row r="69" spans="1:32" x14ac:dyDescent="0.25">
      <c r="A69" s="757">
        <f>'D-1 Off-Site Habitat Baseline'!AF73</f>
        <v>0</v>
      </c>
      <c r="B69" s="764"/>
      <c r="C69" s="762">
        <f>SUMIF('D-1 Off-Site Habitat Baseline'!AF73:AF76,B69,'D-1 Off-Site Habitat Baseline'!T73:T76)</f>
        <v>0</v>
      </c>
      <c r="D69" s="1351">
        <f>SUMIF('D-1 Off-Site Habitat Baseline'!$AF$11:$AF$258,'Off-site gain site summary'!$B$7,'D-1 Off-Site Habitat Baseline'!$X$11:$X$258)</f>
        <v>0</v>
      </c>
      <c r="E69" s="1352"/>
      <c r="F69" s="1351">
        <f>SUMIF('D-3 Off-Site Habitat Enhancment'!$AU$12:$AU$258,'Off-site gain site summary'!B69,'D-3 Off-Site Habitat Enhancment'!$AQ$12:$AQ$258)</f>
        <v>0</v>
      </c>
      <c r="G69" s="1352"/>
      <c r="H69" s="1351">
        <f>SUMIF('D-2 Off-Site Habitat Creation'!$AF$11:$AF$256,'Off-site gain site summary'!B69,'D-2 Off-Site Habitat Creation'!$AB$11:$AB$256)</f>
        <v>0</v>
      </c>
      <c r="I69" s="1352"/>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3"/>
      <c r="AF69" s="1353"/>
    </row>
    <row r="70" spans="1:32" x14ac:dyDescent="0.25">
      <c r="A70" s="757">
        <f>'D-1 Off-Site Habitat Baseline'!AF74</f>
        <v>0</v>
      </c>
      <c r="B70" s="764"/>
      <c r="C70" s="762">
        <f>SUMIF('D-1 Off-Site Habitat Baseline'!AF74:AF77,B70,'D-1 Off-Site Habitat Baseline'!T74:T77)</f>
        <v>0</v>
      </c>
      <c r="D70" s="1351">
        <f>SUMIF('D-1 Off-Site Habitat Baseline'!$AF$11:$AF$258,'Off-site gain site summary'!$B$7,'D-1 Off-Site Habitat Baseline'!$X$11:$X$258)</f>
        <v>0</v>
      </c>
      <c r="E70" s="1352"/>
      <c r="F70" s="1351">
        <f>SUMIF('D-3 Off-Site Habitat Enhancment'!$AU$12:$AU$258,'Off-site gain site summary'!B70,'D-3 Off-Site Habitat Enhancment'!$AQ$12:$AQ$258)</f>
        <v>0</v>
      </c>
      <c r="G70" s="1352"/>
      <c r="H70" s="1351">
        <f>SUMIF('D-2 Off-Site Habitat Creation'!$AF$11:$AF$256,'Off-site gain site summary'!B70,'D-2 Off-Site Habitat Creation'!$AB$11:$AB$256)</f>
        <v>0</v>
      </c>
      <c r="I70" s="1352"/>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3"/>
      <c r="AF70" s="1353"/>
    </row>
    <row r="71" spans="1:32" x14ac:dyDescent="0.25">
      <c r="A71" s="757">
        <f>'D-1 Off-Site Habitat Baseline'!AF75</f>
        <v>0</v>
      </c>
      <c r="B71" s="764"/>
      <c r="C71" s="762">
        <f>SUMIF('D-1 Off-Site Habitat Baseline'!AF75:AF78,B71,'D-1 Off-Site Habitat Baseline'!T75:T78)</f>
        <v>0</v>
      </c>
      <c r="D71" s="1351">
        <f>SUMIF('D-1 Off-Site Habitat Baseline'!$AF$11:$AF$258,'Off-site gain site summary'!$B$7,'D-1 Off-Site Habitat Baseline'!$X$11:$X$258)</f>
        <v>0</v>
      </c>
      <c r="E71" s="1352"/>
      <c r="F71" s="1351">
        <f>SUMIF('D-3 Off-Site Habitat Enhancment'!$AU$12:$AU$258,'Off-site gain site summary'!B71,'D-3 Off-Site Habitat Enhancment'!$AQ$12:$AQ$258)</f>
        <v>0</v>
      </c>
      <c r="G71" s="1352"/>
      <c r="H71" s="1351">
        <f>SUMIF('D-2 Off-Site Habitat Creation'!$AF$11:$AF$256,'Off-site gain site summary'!B71,'D-2 Off-Site Habitat Creation'!$AB$11:$AB$256)</f>
        <v>0</v>
      </c>
      <c r="I71" s="1352"/>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3"/>
      <c r="AF71" s="1353"/>
    </row>
    <row r="72" spans="1:32" x14ac:dyDescent="0.25">
      <c r="A72" s="757">
        <f>'D-1 Off-Site Habitat Baseline'!AF76</f>
        <v>0</v>
      </c>
      <c r="B72" s="764"/>
      <c r="C72" s="762">
        <f>SUMIF('D-1 Off-Site Habitat Baseline'!AF76:AF79,B72,'D-1 Off-Site Habitat Baseline'!T76:T79)</f>
        <v>0</v>
      </c>
      <c r="D72" s="1351">
        <f>SUMIF('D-1 Off-Site Habitat Baseline'!$AF$11:$AF$258,'Off-site gain site summary'!$B$7,'D-1 Off-Site Habitat Baseline'!$X$11:$X$258)</f>
        <v>0</v>
      </c>
      <c r="E72" s="1352"/>
      <c r="F72" s="1351">
        <f>SUMIF('D-3 Off-Site Habitat Enhancment'!$AU$12:$AU$258,'Off-site gain site summary'!B72,'D-3 Off-Site Habitat Enhancment'!$AQ$12:$AQ$258)</f>
        <v>0</v>
      </c>
      <c r="G72" s="1352"/>
      <c r="H72" s="1351">
        <f>SUMIF('D-2 Off-Site Habitat Creation'!$AF$11:$AF$256,'Off-site gain site summary'!B72,'D-2 Off-Site Habitat Creation'!$AB$11:$AB$256)</f>
        <v>0</v>
      </c>
      <c r="I72" s="1352"/>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3"/>
      <c r="AF72" s="1353"/>
    </row>
    <row r="73" spans="1:32" x14ac:dyDescent="0.25">
      <c r="A73" s="757">
        <f>'D-1 Off-Site Habitat Baseline'!AF77</f>
        <v>0</v>
      </c>
      <c r="B73" s="764"/>
      <c r="C73" s="762">
        <f>SUMIF('D-1 Off-Site Habitat Baseline'!AF77:AF80,B73,'D-1 Off-Site Habitat Baseline'!T77:T80)</f>
        <v>0</v>
      </c>
      <c r="D73" s="1351">
        <f>SUMIF('D-1 Off-Site Habitat Baseline'!$AF$11:$AF$258,'Off-site gain site summary'!$B$7,'D-1 Off-Site Habitat Baseline'!$X$11:$X$258)</f>
        <v>0</v>
      </c>
      <c r="E73" s="1352"/>
      <c r="F73" s="1351">
        <f>SUMIF('D-3 Off-Site Habitat Enhancment'!$AU$12:$AU$258,'Off-site gain site summary'!B73,'D-3 Off-Site Habitat Enhancment'!$AQ$12:$AQ$258)</f>
        <v>0</v>
      </c>
      <c r="G73" s="1352"/>
      <c r="H73" s="1351">
        <f>SUMIF('D-2 Off-Site Habitat Creation'!$AF$11:$AF$256,'Off-site gain site summary'!B73,'D-2 Off-Site Habitat Creation'!$AB$11:$AB$256)</f>
        <v>0</v>
      </c>
      <c r="I73" s="1352"/>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3"/>
      <c r="AF73" s="1353"/>
    </row>
    <row r="74" spans="1:32" x14ac:dyDescent="0.25">
      <c r="A74" s="757">
        <f>'D-1 Off-Site Habitat Baseline'!AF78</f>
        <v>0</v>
      </c>
      <c r="B74" s="764"/>
      <c r="C74" s="762">
        <f>SUMIF('D-1 Off-Site Habitat Baseline'!AF78:AF81,B74,'D-1 Off-Site Habitat Baseline'!T78:T81)</f>
        <v>0</v>
      </c>
      <c r="D74" s="1351">
        <f>SUMIF('D-1 Off-Site Habitat Baseline'!$AF$11:$AF$258,'Off-site gain site summary'!$B$7,'D-1 Off-Site Habitat Baseline'!$X$11:$X$258)</f>
        <v>0</v>
      </c>
      <c r="E74" s="1352"/>
      <c r="F74" s="1351">
        <f>SUMIF('D-3 Off-Site Habitat Enhancment'!$AU$12:$AU$258,'Off-site gain site summary'!B74,'D-3 Off-Site Habitat Enhancment'!$AQ$12:$AQ$258)</f>
        <v>0</v>
      </c>
      <c r="G74" s="1352"/>
      <c r="H74" s="1351">
        <f>SUMIF('D-2 Off-Site Habitat Creation'!$AF$11:$AF$256,'Off-site gain site summary'!B74,'D-2 Off-Site Habitat Creation'!$AB$11:$AB$256)</f>
        <v>0</v>
      </c>
      <c r="I74" s="1352"/>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3"/>
      <c r="AF74" s="1353"/>
    </row>
    <row r="75" spans="1:32" x14ac:dyDescent="0.25">
      <c r="A75" s="757">
        <f>'D-1 Off-Site Habitat Baseline'!AF79</f>
        <v>0</v>
      </c>
      <c r="B75" s="764"/>
      <c r="C75" s="762">
        <f>SUMIF('D-1 Off-Site Habitat Baseline'!AF79:AF82,B75,'D-1 Off-Site Habitat Baseline'!T79:T82)</f>
        <v>0</v>
      </c>
      <c r="D75" s="1351">
        <f>SUMIF('D-1 Off-Site Habitat Baseline'!$AF$11:$AF$258,'Off-site gain site summary'!$B$7,'D-1 Off-Site Habitat Baseline'!$X$11:$X$258)</f>
        <v>0</v>
      </c>
      <c r="E75" s="1352"/>
      <c r="F75" s="1351">
        <f>SUMIF('D-3 Off-Site Habitat Enhancment'!$AU$12:$AU$258,'Off-site gain site summary'!B75,'D-3 Off-Site Habitat Enhancment'!$AQ$12:$AQ$258)</f>
        <v>0</v>
      </c>
      <c r="G75" s="1352"/>
      <c r="H75" s="1351">
        <f>SUMIF('D-2 Off-Site Habitat Creation'!$AF$11:$AF$256,'Off-site gain site summary'!B75,'D-2 Off-Site Habitat Creation'!$AB$11:$AB$256)</f>
        <v>0</v>
      </c>
      <c r="I75" s="1352"/>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3"/>
      <c r="AF75" s="1353"/>
    </row>
    <row r="76" spans="1:32" x14ac:dyDescent="0.25">
      <c r="A76" s="757">
        <f>'D-1 Off-Site Habitat Baseline'!AF80</f>
        <v>0</v>
      </c>
      <c r="B76" s="764"/>
      <c r="C76" s="762">
        <f>SUMIF('D-1 Off-Site Habitat Baseline'!AF80:AF83,B76,'D-1 Off-Site Habitat Baseline'!T80:T83)</f>
        <v>0</v>
      </c>
      <c r="D76" s="1351">
        <f>SUMIF('D-1 Off-Site Habitat Baseline'!$AF$11:$AF$258,'Off-site gain site summary'!$B$7,'D-1 Off-Site Habitat Baseline'!$X$11:$X$258)</f>
        <v>0</v>
      </c>
      <c r="E76" s="1352"/>
      <c r="F76" s="1351">
        <f>SUMIF('D-3 Off-Site Habitat Enhancment'!$AU$12:$AU$258,'Off-site gain site summary'!B76,'D-3 Off-Site Habitat Enhancment'!$AQ$12:$AQ$258)</f>
        <v>0</v>
      </c>
      <c r="G76" s="1352"/>
      <c r="H76" s="1351">
        <f>SUMIF('D-2 Off-Site Habitat Creation'!$AF$11:$AF$256,'Off-site gain site summary'!B76,'D-2 Off-Site Habitat Creation'!$AB$11:$AB$256)</f>
        <v>0</v>
      </c>
      <c r="I76" s="1352"/>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3"/>
      <c r="AF76" s="1353"/>
    </row>
    <row r="77" spans="1:32" x14ac:dyDescent="0.25">
      <c r="A77" s="757">
        <f>'D-1 Off-Site Habitat Baseline'!AF81</f>
        <v>0</v>
      </c>
      <c r="B77" s="764"/>
      <c r="C77" s="762">
        <f>SUMIF('D-1 Off-Site Habitat Baseline'!AF81:AF84,B77,'D-1 Off-Site Habitat Baseline'!T81:T84)</f>
        <v>0</v>
      </c>
      <c r="D77" s="1351">
        <f>SUMIF('D-1 Off-Site Habitat Baseline'!$AF$11:$AF$258,'Off-site gain site summary'!$B$7,'D-1 Off-Site Habitat Baseline'!$X$11:$X$258)</f>
        <v>0</v>
      </c>
      <c r="E77" s="1352"/>
      <c r="F77" s="1351">
        <f>SUMIF('D-3 Off-Site Habitat Enhancment'!$AU$12:$AU$258,'Off-site gain site summary'!B77,'D-3 Off-Site Habitat Enhancment'!$AQ$12:$AQ$258)</f>
        <v>0</v>
      </c>
      <c r="G77" s="1352"/>
      <c r="H77" s="1351">
        <f>SUMIF('D-2 Off-Site Habitat Creation'!$AF$11:$AF$256,'Off-site gain site summary'!B77,'D-2 Off-Site Habitat Creation'!$AB$11:$AB$256)</f>
        <v>0</v>
      </c>
      <c r="I77" s="1352"/>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3"/>
      <c r="AF77" s="1353"/>
    </row>
    <row r="78" spans="1:32" x14ac:dyDescent="0.25">
      <c r="A78" s="757">
        <f>'D-1 Off-Site Habitat Baseline'!AF82</f>
        <v>0</v>
      </c>
      <c r="B78" s="764"/>
      <c r="C78" s="762">
        <f>SUMIF('D-1 Off-Site Habitat Baseline'!AF82:AF85,B78,'D-1 Off-Site Habitat Baseline'!T82:T85)</f>
        <v>0</v>
      </c>
      <c r="D78" s="1351">
        <f>SUMIF('D-1 Off-Site Habitat Baseline'!$AF$11:$AF$258,'Off-site gain site summary'!$B$7,'D-1 Off-Site Habitat Baseline'!$X$11:$X$258)</f>
        <v>0</v>
      </c>
      <c r="E78" s="1352"/>
      <c r="F78" s="1351">
        <f>SUMIF('D-3 Off-Site Habitat Enhancment'!$AU$12:$AU$258,'Off-site gain site summary'!B78,'D-3 Off-Site Habitat Enhancment'!$AQ$12:$AQ$258)</f>
        <v>0</v>
      </c>
      <c r="G78" s="1352"/>
      <c r="H78" s="1351">
        <f>SUMIF('D-2 Off-Site Habitat Creation'!$AF$11:$AF$256,'Off-site gain site summary'!B78,'D-2 Off-Site Habitat Creation'!$AB$11:$AB$256)</f>
        <v>0</v>
      </c>
      <c r="I78" s="1352"/>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3"/>
      <c r="AF78" s="1353"/>
    </row>
    <row r="79" spans="1:32" x14ac:dyDescent="0.25">
      <c r="A79" s="757">
        <f>'D-1 Off-Site Habitat Baseline'!AF83</f>
        <v>0</v>
      </c>
      <c r="B79" s="764"/>
      <c r="C79" s="762">
        <f>SUMIF('D-1 Off-Site Habitat Baseline'!AF83:AF86,B79,'D-1 Off-Site Habitat Baseline'!T83:T86)</f>
        <v>0</v>
      </c>
      <c r="D79" s="1351">
        <f>SUMIF('D-1 Off-Site Habitat Baseline'!$AF$11:$AF$258,'Off-site gain site summary'!$B$7,'D-1 Off-Site Habitat Baseline'!$X$11:$X$258)</f>
        <v>0</v>
      </c>
      <c r="E79" s="1352"/>
      <c r="F79" s="1351">
        <f>SUMIF('D-3 Off-Site Habitat Enhancment'!$AU$12:$AU$258,'Off-site gain site summary'!B79,'D-3 Off-Site Habitat Enhancment'!$AQ$12:$AQ$258)</f>
        <v>0</v>
      </c>
      <c r="G79" s="1352"/>
      <c r="H79" s="1351">
        <f>SUMIF('D-2 Off-Site Habitat Creation'!$AF$11:$AF$256,'Off-site gain site summary'!B79,'D-2 Off-Site Habitat Creation'!$AB$11:$AB$256)</f>
        <v>0</v>
      </c>
      <c r="I79" s="1352"/>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3"/>
      <c r="AF79" s="1353"/>
    </row>
    <row r="80" spans="1:32" x14ac:dyDescent="0.25">
      <c r="A80" s="757">
        <f>'D-1 Off-Site Habitat Baseline'!AF84</f>
        <v>0</v>
      </c>
      <c r="B80" s="764"/>
      <c r="C80" s="762">
        <f>SUMIF('D-1 Off-Site Habitat Baseline'!AF84:AF87,B80,'D-1 Off-Site Habitat Baseline'!T84:T87)</f>
        <v>0</v>
      </c>
      <c r="D80" s="1351">
        <f>SUMIF('D-1 Off-Site Habitat Baseline'!$AF$11:$AF$258,'Off-site gain site summary'!$B$7,'D-1 Off-Site Habitat Baseline'!$X$11:$X$258)</f>
        <v>0</v>
      </c>
      <c r="E80" s="1352"/>
      <c r="F80" s="1351">
        <f>SUMIF('D-3 Off-Site Habitat Enhancment'!$AU$12:$AU$258,'Off-site gain site summary'!B80,'D-3 Off-Site Habitat Enhancment'!$AQ$12:$AQ$258)</f>
        <v>0</v>
      </c>
      <c r="G80" s="1352"/>
      <c r="H80" s="1351">
        <f>SUMIF('D-2 Off-Site Habitat Creation'!$AF$11:$AF$256,'Off-site gain site summary'!B80,'D-2 Off-Site Habitat Creation'!$AB$11:$AB$256)</f>
        <v>0</v>
      </c>
      <c r="I80" s="1352"/>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3"/>
      <c r="AF80" s="1353"/>
    </row>
    <row r="81" spans="1:32" x14ac:dyDescent="0.25">
      <c r="A81" s="757">
        <f>'D-1 Off-Site Habitat Baseline'!AF85</f>
        <v>0</v>
      </c>
      <c r="B81" s="764"/>
      <c r="C81" s="762">
        <f>SUMIF('D-1 Off-Site Habitat Baseline'!AF85:AF88,B81,'D-1 Off-Site Habitat Baseline'!T85:T88)</f>
        <v>0</v>
      </c>
      <c r="D81" s="1351">
        <f>SUMIF('D-1 Off-Site Habitat Baseline'!$AF$11:$AF$258,'Off-site gain site summary'!$B$7,'D-1 Off-Site Habitat Baseline'!$X$11:$X$258)</f>
        <v>0</v>
      </c>
      <c r="E81" s="1352"/>
      <c r="F81" s="1351">
        <f>SUMIF('D-3 Off-Site Habitat Enhancment'!$AU$12:$AU$258,'Off-site gain site summary'!B81,'D-3 Off-Site Habitat Enhancment'!$AQ$12:$AQ$258)</f>
        <v>0</v>
      </c>
      <c r="G81" s="1352"/>
      <c r="H81" s="1351">
        <f>SUMIF('D-2 Off-Site Habitat Creation'!$AF$11:$AF$256,'Off-site gain site summary'!B81,'D-2 Off-Site Habitat Creation'!$AB$11:$AB$256)</f>
        <v>0</v>
      </c>
      <c r="I81" s="1352"/>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3"/>
      <c r="AF81" s="1353"/>
    </row>
    <row r="82" spans="1:32" x14ac:dyDescent="0.25">
      <c r="A82" s="757">
        <f>'D-1 Off-Site Habitat Baseline'!AF86</f>
        <v>0</v>
      </c>
      <c r="B82" s="764"/>
      <c r="C82" s="762">
        <f>SUMIF('D-1 Off-Site Habitat Baseline'!AF86:AF89,B82,'D-1 Off-Site Habitat Baseline'!T86:T89)</f>
        <v>0</v>
      </c>
      <c r="D82" s="1351">
        <f>SUMIF('D-1 Off-Site Habitat Baseline'!$AF$11:$AF$258,'Off-site gain site summary'!$B$7,'D-1 Off-Site Habitat Baseline'!$X$11:$X$258)</f>
        <v>0</v>
      </c>
      <c r="E82" s="1352"/>
      <c r="F82" s="1351">
        <f>SUMIF('D-3 Off-Site Habitat Enhancment'!$AU$12:$AU$258,'Off-site gain site summary'!B82,'D-3 Off-Site Habitat Enhancment'!$AQ$12:$AQ$258)</f>
        <v>0</v>
      </c>
      <c r="G82" s="1352"/>
      <c r="H82" s="1351">
        <f>SUMIF('D-2 Off-Site Habitat Creation'!$AF$11:$AF$256,'Off-site gain site summary'!B82,'D-2 Off-Site Habitat Creation'!$AB$11:$AB$256)</f>
        <v>0</v>
      </c>
      <c r="I82" s="1352"/>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3"/>
      <c r="AF82" s="1353"/>
    </row>
    <row r="83" spans="1:32" x14ac:dyDescent="0.25">
      <c r="A83" s="757">
        <f>'D-1 Off-Site Habitat Baseline'!AF87</f>
        <v>0</v>
      </c>
      <c r="B83" s="764"/>
      <c r="C83" s="762">
        <f>SUMIF('D-1 Off-Site Habitat Baseline'!AF87:AF90,B83,'D-1 Off-Site Habitat Baseline'!T87:T90)</f>
        <v>0</v>
      </c>
      <c r="D83" s="1351">
        <f>SUMIF('D-1 Off-Site Habitat Baseline'!$AF$11:$AF$258,'Off-site gain site summary'!$B$7,'D-1 Off-Site Habitat Baseline'!$X$11:$X$258)</f>
        <v>0</v>
      </c>
      <c r="E83" s="1352"/>
      <c r="F83" s="1351">
        <f>SUMIF('D-3 Off-Site Habitat Enhancment'!$AU$12:$AU$258,'Off-site gain site summary'!B83,'D-3 Off-Site Habitat Enhancment'!$AQ$12:$AQ$258)</f>
        <v>0</v>
      </c>
      <c r="G83" s="1352"/>
      <c r="H83" s="1351">
        <f>SUMIF('D-2 Off-Site Habitat Creation'!$AF$11:$AF$256,'Off-site gain site summary'!B83,'D-2 Off-Site Habitat Creation'!$AB$11:$AB$256)</f>
        <v>0</v>
      </c>
      <c r="I83" s="1352"/>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3"/>
      <c r="AF83" s="1353"/>
    </row>
    <row r="84" spans="1:32" x14ac:dyDescent="0.25">
      <c r="A84" s="757">
        <f>'D-1 Off-Site Habitat Baseline'!AF88</f>
        <v>0</v>
      </c>
      <c r="B84" s="764"/>
      <c r="C84" s="762">
        <f>SUMIF('D-1 Off-Site Habitat Baseline'!AF88:AF91,B84,'D-1 Off-Site Habitat Baseline'!T88:T91)</f>
        <v>0</v>
      </c>
      <c r="D84" s="1351">
        <f>SUMIF('D-1 Off-Site Habitat Baseline'!$AF$11:$AF$258,'Off-site gain site summary'!$B$7,'D-1 Off-Site Habitat Baseline'!$X$11:$X$258)</f>
        <v>0</v>
      </c>
      <c r="E84" s="1352"/>
      <c r="F84" s="1351">
        <f>SUMIF('D-3 Off-Site Habitat Enhancment'!$AU$12:$AU$258,'Off-site gain site summary'!B84,'D-3 Off-Site Habitat Enhancment'!$AQ$12:$AQ$258)</f>
        <v>0</v>
      </c>
      <c r="G84" s="1352"/>
      <c r="H84" s="1351">
        <f>SUMIF('D-2 Off-Site Habitat Creation'!$AF$11:$AF$256,'Off-site gain site summary'!B84,'D-2 Off-Site Habitat Creation'!$AB$11:$AB$256)</f>
        <v>0</v>
      </c>
      <c r="I84" s="1352"/>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3"/>
      <c r="AF84" s="1353"/>
    </row>
    <row r="85" spans="1:32" x14ac:dyDescent="0.25">
      <c r="A85" s="757">
        <f>'D-1 Off-Site Habitat Baseline'!AF89</f>
        <v>0</v>
      </c>
      <c r="B85" s="764"/>
      <c r="C85" s="762">
        <f>SUMIF('D-1 Off-Site Habitat Baseline'!AF89:AF92,B85,'D-1 Off-Site Habitat Baseline'!T89:T92)</f>
        <v>0</v>
      </c>
      <c r="D85" s="1351">
        <f>SUMIF('D-1 Off-Site Habitat Baseline'!$AF$11:$AF$258,'Off-site gain site summary'!$B$7,'D-1 Off-Site Habitat Baseline'!$X$11:$X$258)</f>
        <v>0</v>
      </c>
      <c r="E85" s="1352"/>
      <c r="F85" s="1351">
        <f>SUMIF('D-3 Off-Site Habitat Enhancment'!$AU$12:$AU$258,'Off-site gain site summary'!B85,'D-3 Off-Site Habitat Enhancment'!$AQ$12:$AQ$258)</f>
        <v>0</v>
      </c>
      <c r="G85" s="1352"/>
      <c r="H85" s="1351">
        <f>SUMIF('D-2 Off-Site Habitat Creation'!$AF$11:$AF$256,'Off-site gain site summary'!B85,'D-2 Off-Site Habitat Creation'!$AB$11:$AB$256)</f>
        <v>0</v>
      </c>
      <c r="I85" s="1352"/>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3"/>
      <c r="AF85" s="1353"/>
    </row>
    <row r="86" spans="1:32" x14ac:dyDescent="0.25">
      <c r="A86" s="757">
        <f>'D-1 Off-Site Habitat Baseline'!AF90</f>
        <v>0</v>
      </c>
      <c r="B86" s="764"/>
      <c r="C86" s="762">
        <f>SUMIF('D-1 Off-Site Habitat Baseline'!AF90:AF93,B86,'D-1 Off-Site Habitat Baseline'!T90:T93)</f>
        <v>0</v>
      </c>
      <c r="D86" s="1351">
        <f>SUMIF('D-1 Off-Site Habitat Baseline'!$AF$11:$AF$258,'Off-site gain site summary'!$B$7,'D-1 Off-Site Habitat Baseline'!$X$11:$X$258)</f>
        <v>0</v>
      </c>
      <c r="E86" s="1352"/>
      <c r="F86" s="1351">
        <f>SUMIF('D-3 Off-Site Habitat Enhancment'!$AU$12:$AU$258,'Off-site gain site summary'!B86,'D-3 Off-Site Habitat Enhancment'!$AQ$12:$AQ$258)</f>
        <v>0</v>
      </c>
      <c r="G86" s="1352"/>
      <c r="H86" s="1351">
        <f>SUMIF('D-2 Off-Site Habitat Creation'!$AF$11:$AF$256,'Off-site gain site summary'!B86,'D-2 Off-Site Habitat Creation'!$AB$11:$AB$256)</f>
        <v>0</v>
      </c>
      <c r="I86" s="1352"/>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3"/>
      <c r="AF86" s="1353"/>
    </row>
    <row r="87" spans="1:32" x14ac:dyDescent="0.25">
      <c r="A87" s="757">
        <f>'D-1 Off-Site Habitat Baseline'!AF91</f>
        <v>0</v>
      </c>
      <c r="B87" s="764"/>
      <c r="C87" s="762">
        <f>SUMIF('D-1 Off-Site Habitat Baseline'!AF91:AF94,B87,'D-1 Off-Site Habitat Baseline'!T91:T94)</f>
        <v>0</v>
      </c>
      <c r="D87" s="1351">
        <f>SUMIF('D-1 Off-Site Habitat Baseline'!$AF$11:$AF$258,'Off-site gain site summary'!$B$7,'D-1 Off-Site Habitat Baseline'!$X$11:$X$258)</f>
        <v>0</v>
      </c>
      <c r="E87" s="1352"/>
      <c r="F87" s="1351">
        <f>SUMIF('D-3 Off-Site Habitat Enhancment'!$AU$12:$AU$258,'Off-site gain site summary'!B87,'D-3 Off-Site Habitat Enhancment'!$AQ$12:$AQ$258)</f>
        <v>0</v>
      </c>
      <c r="G87" s="1352"/>
      <c r="H87" s="1351">
        <f>SUMIF('D-2 Off-Site Habitat Creation'!$AF$11:$AF$256,'Off-site gain site summary'!B87,'D-2 Off-Site Habitat Creation'!$AB$11:$AB$256)</f>
        <v>0</v>
      </c>
      <c r="I87" s="1352"/>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3"/>
      <c r="AF87" s="1353"/>
    </row>
    <row r="88" spans="1:32" x14ac:dyDescent="0.25">
      <c r="A88" s="757">
        <f>'D-1 Off-Site Habitat Baseline'!AF92</f>
        <v>0</v>
      </c>
      <c r="B88" s="764"/>
      <c r="C88" s="762">
        <f>SUMIF('D-1 Off-Site Habitat Baseline'!AF92:AF95,B88,'D-1 Off-Site Habitat Baseline'!T92:T95)</f>
        <v>0</v>
      </c>
      <c r="D88" s="1351">
        <f>SUMIF('D-1 Off-Site Habitat Baseline'!$AF$11:$AF$258,'Off-site gain site summary'!$B$7,'D-1 Off-Site Habitat Baseline'!$X$11:$X$258)</f>
        <v>0</v>
      </c>
      <c r="E88" s="1352"/>
      <c r="F88" s="1351">
        <f>SUMIF('D-3 Off-Site Habitat Enhancment'!$AU$12:$AU$258,'Off-site gain site summary'!B88,'D-3 Off-Site Habitat Enhancment'!$AQ$12:$AQ$258)</f>
        <v>0</v>
      </c>
      <c r="G88" s="1352"/>
      <c r="H88" s="1351">
        <f>SUMIF('D-2 Off-Site Habitat Creation'!$AF$11:$AF$256,'Off-site gain site summary'!B88,'D-2 Off-Site Habitat Creation'!$AB$11:$AB$256)</f>
        <v>0</v>
      </c>
      <c r="I88" s="1352"/>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3"/>
      <c r="AF88" s="1353"/>
    </row>
    <row r="89" spans="1:32" x14ac:dyDescent="0.25">
      <c r="A89" s="757">
        <f>'D-1 Off-Site Habitat Baseline'!AF93</f>
        <v>0</v>
      </c>
      <c r="B89" s="764"/>
      <c r="C89" s="762">
        <f>SUMIF('D-1 Off-Site Habitat Baseline'!AF93:AF96,B89,'D-1 Off-Site Habitat Baseline'!T93:T96)</f>
        <v>0</v>
      </c>
      <c r="D89" s="1351">
        <f>SUMIF('D-1 Off-Site Habitat Baseline'!$AF$11:$AF$258,'Off-site gain site summary'!$B$7,'D-1 Off-Site Habitat Baseline'!$X$11:$X$258)</f>
        <v>0</v>
      </c>
      <c r="E89" s="1352"/>
      <c r="F89" s="1351">
        <f>SUMIF('D-3 Off-Site Habitat Enhancment'!$AU$12:$AU$258,'Off-site gain site summary'!B89,'D-3 Off-Site Habitat Enhancment'!$AQ$12:$AQ$258)</f>
        <v>0</v>
      </c>
      <c r="G89" s="1352"/>
      <c r="H89" s="1351">
        <f>SUMIF('D-2 Off-Site Habitat Creation'!$AF$11:$AF$256,'Off-site gain site summary'!B89,'D-2 Off-Site Habitat Creation'!$AB$11:$AB$256)</f>
        <v>0</v>
      </c>
      <c r="I89" s="1352"/>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3"/>
      <c r="AF89" s="1353"/>
    </row>
    <row r="90" spans="1:32" x14ac:dyDescent="0.25">
      <c r="A90" s="757">
        <f>'D-1 Off-Site Habitat Baseline'!AF94</f>
        <v>0</v>
      </c>
      <c r="B90" s="764"/>
      <c r="C90" s="762">
        <f>SUMIF('D-1 Off-Site Habitat Baseline'!AF94:AF97,B90,'D-1 Off-Site Habitat Baseline'!T94:T97)</f>
        <v>0</v>
      </c>
      <c r="D90" s="1351">
        <f>SUMIF('D-1 Off-Site Habitat Baseline'!$AF$11:$AF$258,'Off-site gain site summary'!$B$7,'D-1 Off-Site Habitat Baseline'!$X$11:$X$258)</f>
        <v>0</v>
      </c>
      <c r="E90" s="1352"/>
      <c r="F90" s="1351">
        <f>SUMIF('D-3 Off-Site Habitat Enhancment'!$AU$12:$AU$258,'Off-site gain site summary'!B90,'D-3 Off-Site Habitat Enhancment'!$AQ$12:$AQ$258)</f>
        <v>0</v>
      </c>
      <c r="G90" s="1352"/>
      <c r="H90" s="1351">
        <f>SUMIF('D-2 Off-Site Habitat Creation'!$AF$11:$AF$256,'Off-site gain site summary'!B90,'D-2 Off-Site Habitat Creation'!$AB$11:$AB$256)</f>
        <v>0</v>
      </c>
      <c r="I90" s="1352"/>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3"/>
      <c r="AF90" s="1353"/>
    </row>
    <row r="91" spans="1:32" x14ac:dyDescent="0.25">
      <c r="A91" s="757">
        <f>'D-1 Off-Site Habitat Baseline'!AF95</f>
        <v>0</v>
      </c>
      <c r="B91" s="764"/>
      <c r="C91" s="762">
        <f>SUMIF('D-1 Off-Site Habitat Baseline'!AF95:AF98,B91,'D-1 Off-Site Habitat Baseline'!T95:T98)</f>
        <v>0</v>
      </c>
      <c r="D91" s="1351">
        <f>SUMIF('D-1 Off-Site Habitat Baseline'!$AF$11:$AF$258,'Off-site gain site summary'!$B$7,'D-1 Off-Site Habitat Baseline'!$X$11:$X$258)</f>
        <v>0</v>
      </c>
      <c r="E91" s="1352"/>
      <c r="F91" s="1351">
        <f>SUMIF('D-3 Off-Site Habitat Enhancment'!$AU$12:$AU$258,'Off-site gain site summary'!B91,'D-3 Off-Site Habitat Enhancment'!$AQ$12:$AQ$258)</f>
        <v>0</v>
      </c>
      <c r="G91" s="1352"/>
      <c r="H91" s="1351">
        <f>SUMIF('D-2 Off-Site Habitat Creation'!$AF$11:$AF$256,'Off-site gain site summary'!B91,'D-2 Off-Site Habitat Creation'!$AB$11:$AB$256)</f>
        <v>0</v>
      </c>
      <c r="I91" s="1352"/>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3"/>
      <c r="AF91" s="1353"/>
    </row>
    <row r="92" spans="1:32" x14ac:dyDescent="0.25">
      <c r="A92" s="757">
        <f>'D-1 Off-Site Habitat Baseline'!AF96</f>
        <v>0</v>
      </c>
      <c r="B92" s="764"/>
      <c r="C92" s="762">
        <f>SUMIF('D-1 Off-Site Habitat Baseline'!AF96:AF99,B92,'D-1 Off-Site Habitat Baseline'!T96:T99)</f>
        <v>0</v>
      </c>
      <c r="D92" s="1351">
        <f>SUMIF('D-1 Off-Site Habitat Baseline'!$AF$11:$AF$258,'Off-site gain site summary'!$B$7,'D-1 Off-Site Habitat Baseline'!$X$11:$X$258)</f>
        <v>0</v>
      </c>
      <c r="E92" s="1352"/>
      <c r="F92" s="1351">
        <f>SUMIF('D-3 Off-Site Habitat Enhancment'!$AU$12:$AU$258,'Off-site gain site summary'!B92,'D-3 Off-Site Habitat Enhancment'!$AQ$12:$AQ$258)</f>
        <v>0</v>
      </c>
      <c r="G92" s="1352"/>
      <c r="H92" s="1351">
        <f>SUMIF('D-2 Off-Site Habitat Creation'!$AF$11:$AF$256,'Off-site gain site summary'!B92,'D-2 Off-Site Habitat Creation'!$AB$11:$AB$256)</f>
        <v>0</v>
      </c>
      <c r="I92" s="1352"/>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3"/>
      <c r="AF92" s="1353"/>
    </row>
    <row r="93" spans="1:32" x14ac:dyDescent="0.25">
      <c r="A93" s="757">
        <f>'D-1 Off-Site Habitat Baseline'!AF97</f>
        <v>0</v>
      </c>
      <c r="B93" s="764"/>
      <c r="C93" s="762">
        <f>SUMIF('D-1 Off-Site Habitat Baseline'!AF97:AF100,B93,'D-1 Off-Site Habitat Baseline'!T97:T100)</f>
        <v>0</v>
      </c>
      <c r="D93" s="1351">
        <f>SUMIF('D-1 Off-Site Habitat Baseline'!$AF$11:$AF$258,'Off-site gain site summary'!$B$7,'D-1 Off-Site Habitat Baseline'!$X$11:$X$258)</f>
        <v>0</v>
      </c>
      <c r="E93" s="1352"/>
      <c r="F93" s="1351">
        <f>SUMIF('D-3 Off-Site Habitat Enhancment'!$AU$12:$AU$258,'Off-site gain site summary'!B93,'D-3 Off-Site Habitat Enhancment'!$AQ$12:$AQ$258)</f>
        <v>0</v>
      </c>
      <c r="G93" s="1352"/>
      <c r="H93" s="1351">
        <f>SUMIF('D-2 Off-Site Habitat Creation'!$AF$11:$AF$256,'Off-site gain site summary'!B93,'D-2 Off-Site Habitat Creation'!$AB$11:$AB$256)</f>
        <v>0</v>
      </c>
      <c r="I93" s="1352"/>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3"/>
      <c r="AF93" s="1353"/>
    </row>
    <row r="94" spans="1:32" x14ac:dyDescent="0.25">
      <c r="A94" s="757">
        <f>'D-1 Off-Site Habitat Baseline'!AF98</f>
        <v>0</v>
      </c>
      <c r="B94" s="764"/>
      <c r="C94" s="762">
        <f>SUMIF('D-1 Off-Site Habitat Baseline'!AF98:AF101,B94,'D-1 Off-Site Habitat Baseline'!T98:T101)</f>
        <v>0</v>
      </c>
      <c r="D94" s="1351">
        <f>SUMIF('D-1 Off-Site Habitat Baseline'!$AF$11:$AF$258,'Off-site gain site summary'!$B$7,'D-1 Off-Site Habitat Baseline'!$X$11:$X$258)</f>
        <v>0</v>
      </c>
      <c r="E94" s="1352"/>
      <c r="F94" s="1351">
        <f>SUMIF('D-3 Off-Site Habitat Enhancment'!$AU$12:$AU$258,'Off-site gain site summary'!B94,'D-3 Off-Site Habitat Enhancment'!$AQ$12:$AQ$258)</f>
        <v>0</v>
      </c>
      <c r="G94" s="1352"/>
      <c r="H94" s="1351">
        <f>SUMIF('D-2 Off-Site Habitat Creation'!$AF$11:$AF$256,'Off-site gain site summary'!B94,'D-2 Off-Site Habitat Creation'!$AB$11:$AB$256)</f>
        <v>0</v>
      </c>
      <c r="I94" s="1352"/>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3"/>
      <c r="AF94" s="1353"/>
    </row>
    <row r="95" spans="1:32" x14ac:dyDescent="0.25">
      <c r="A95" s="757">
        <f>'D-1 Off-Site Habitat Baseline'!AF99</f>
        <v>0</v>
      </c>
      <c r="B95" s="764"/>
      <c r="C95" s="762">
        <f>SUMIF('D-1 Off-Site Habitat Baseline'!AF99:AF102,B95,'D-1 Off-Site Habitat Baseline'!T99:T102)</f>
        <v>0</v>
      </c>
      <c r="D95" s="1351">
        <f>SUMIF('D-1 Off-Site Habitat Baseline'!$AF$11:$AF$258,'Off-site gain site summary'!$B$7,'D-1 Off-Site Habitat Baseline'!$X$11:$X$258)</f>
        <v>0</v>
      </c>
      <c r="E95" s="1352"/>
      <c r="F95" s="1351">
        <f>SUMIF('D-3 Off-Site Habitat Enhancment'!$AU$12:$AU$258,'Off-site gain site summary'!B95,'D-3 Off-Site Habitat Enhancment'!$AQ$12:$AQ$258)</f>
        <v>0</v>
      </c>
      <c r="G95" s="1352"/>
      <c r="H95" s="1351">
        <f>SUMIF('D-2 Off-Site Habitat Creation'!$AF$11:$AF$256,'Off-site gain site summary'!B95,'D-2 Off-Site Habitat Creation'!$AB$11:$AB$256)</f>
        <v>0</v>
      </c>
      <c r="I95" s="1352"/>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3"/>
      <c r="AF95" s="1353"/>
    </row>
    <row r="96" spans="1:32" x14ac:dyDescent="0.25">
      <c r="A96" s="757">
        <f>'D-1 Off-Site Habitat Baseline'!AF100</f>
        <v>0</v>
      </c>
      <c r="B96" s="764"/>
      <c r="C96" s="762">
        <f>SUMIF('D-1 Off-Site Habitat Baseline'!AF100:AF103,B96,'D-1 Off-Site Habitat Baseline'!T100:T103)</f>
        <v>0</v>
      </c>
      <c r="D96" s="1351">
        <f>SUMIF('D-1 Off-Site Habitat Baseline'!$AF$11:$AF$258,'Off-site gain site summary'!$B$7,'D-1 Off-Site Habitat Baseline'!$X$11:$X$258)</f>
        <v>0</v>
      </c>
      <c r="E96" s="1352"/>
      <c r="F96" s="1351">
        <f>SUMIF('D-3 Off-Site Habitat Enhancment'!$AU$12:$AU$258,'Off-site gain site summary'!B96,'D-3 Off-Site Habitat Enhancment'!$AQ$12:$AQ$258)</f>
        <v>0</v>
      </c>
      <c r="G96" s="1352"/>
      <c r="H96" s="1351">
        <f>SUMIF('D-2 Off-Site Habitat Creation'!$AF$11:$AF$256,'Off-site gain site summary'!B96,'D-2 Off-Site Habitat Creation'!$AB$11:$AB$256)</f>
        <v>0</v>
      </c>
      <c r="I96" s="1352"/>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3"/>
      <c r="AF96" s="1353"/>
    </row>
    <row r="97" spans="1:32" x14ac:dyDescent="0.25">
      <c r="A97" s="757">
        <f>'D-1 Off-Site Habitat Baseline'!AF101</f>
        <v>0</v>
      </c>
      <c r="B97" s="764"/>
      <c r="C97" s="762">
        <f>SUMIF('D-1 Off-Site Habitat Baseline'!AF101:AF104,B97,'D-1 Off-Site Habitat Baseline'!T101:T104)</f>
        <v>0</v>
      </c>
      <c r="D97" s="1351">
        <f>SUMIF('D-1 Off-Site Habitat Baseline'!$AF$11:$AF$258,'Off-site gain site summary'!$B$7,'D-1 Off-Site Habitat Baseline'!$X$11:$X$258)</f>
        <v>0</v>
      </c>
      <c r="E97" s="1352"/>
      <c r="F97" s="1351">
        <f>SUMIF('D-3 Off-Site Habitat Enhancment'!$AU$12:$AU$258,'Off-site gain site summary'!B97,'D-3 Off-Site Habitat Enhancment'!$AQ$12:$AQ$258)</f>
        <v>0</v>
      </c>
      <c r="G97" s="1352"/>
      <c r="H97" s="1351">
        <f>SUMIF('D-2 Off-Site Habitat Creation'!$AF$11:$AF$256,'Off-site gain site summary'!B97,'D-2 Off-Site Habitat Creation'!$AB$11:$AB$256)</f>
        <v>0</v>
      </c>
      <c r="I97" s="1352"/>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3"/>
      <c r="AF97" s="1353"/>
    </row>
    <row r="98" spans="1:32" x14ac:dyDescent="0.25">
      <c r="A98" s="757">
        <f>'D-1 Off-Site Habitat Baseline'!AF102</f>
        <v>0</v>
      </c>
      <c r="B98" s="764"/>
      <c r="C98" s="762">
        <f>SUMIF('D-1 Off-Site Habitat Baseline'!AF102:AF105,B98,'D-1 Off-Site Habitat Baseline'!T102:T105)</f>
        <v>0</v>
      </c>
      <c r="D98" s="1351">
        <f>SUMIF('D-1 Off-Site Habitat Baseline'!$AF$11:$AF$258,'Off-site gain site summary'!$B$7,'D-1 Off-Site Habitat Baseline'!$X$11:$X$258)</f>
        <v>0</v>
      </c>
      <c r="E98" s="1352"/>
      <c r="F98" s="1351">
        <f>SUMIF('D-3 Off-Site Habitat Enhancment'!$AU$12:$AU$258,'Off-site gain site summary'!B98,'D-3 Off-Site Habitat Enhancment'!$AQ$12:$AQ$258)</f>
        <v>0</v>
      </c>
      <c r="G98" s="1352"/>
      <c r="H98" s="1351">
        <f>SUMIF('D-2 Off-Site Habitat Creation'!$AF$11:$AF$256,'Off-site gain site summary'!B98,'D-2 Off-Site Habitat Creation'!$AB$11:$AB$256)</f>
        <v>0</v>
      </c>
      <c r="I98" s="1352"/>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3"/>
      <c r="AF98" s="1353"/>
    </row>
    <row r="99" spans="1:32" x14ac:dyDescent="0.25">
      <c r="A99" s="757">
        <f>'D-1 Off-Site Habitat Baseline'!AF103</f>
        <v>0</v>
      </c>
      <c r="B99" s="764"/>
      <c r="C99" s="762">
        <f>SUMIF('D-1 Off-Site Habitat Baseline'!AF103:AF106,B99,'D-1 Off-Site Habitat Baseline'!T103:T106)</f>
        <v>0</v>
      </c>
      <c r="D99" s="1351">
        <f>SUMIF('D-1 Off-Site Habitat Baseline'!$AF$11:$AF$258,'Off-site gain site summary'!$B$7,'D-1 Off-Site Habitat Baseline'!$X$11:$X$258)</f>
        <v>0</v>
      </c>
      <c r="E99" s="1352"/>
      <c r="F99" s="1351">
        <f>SUMIF('D-3 Off-Site Habitat Enhancment'!$AU$12:$AU$258,'Off-site gain site summary'!B99,'D-3 Off-Site Habitat Enhancment'!$AQ$12:$AQ$258)</f>
        <v>0</v>
      </c>
      <c r="G99" s="1352"/>
      <c r="H99" s="1351">
        <f>SUMIF('D-2 Off-Site Habitat Creation'!$AF$11:$AF$256,'Off-site gain site summary'!B99,'D-2 Off-Site Habitat Creation'!$AB$11:$AB$256)</f>
        <v>0</v>
      </c>
      <c r="I99" s="1352"/>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3"/>
      <c r="AF99" s="1353"/>
    </row>
    <row r="100" spans="1:32" x14ac:dyDescent="0.25">
      <c r="A100" s="757">
        <f>'D-1 Off-Site Habitat Baseline'!AF104</f>
        <v>0</v>
      </c>
      <c r="B100" s="764"/>
      <c r="C100" s="762">
        <f>SUMIF('D-1 Off-Site Habitat Baseline'!AF104:AF107,B100,'D-1 Off-Site Habitat Baseline'!T104:T107)</f>
        <v>0</v>
      </c>
      <c r="D100" s="1351">
        <f>SUMIF('D-1 Off-Site Habitat Baseline'!$AF$11:$AF$258,'Off-site gain site summary'!$B$7,'D-1 Off-Site Habitat Baseline'!$X$11:$X$258)</f>
        <v>0</v>
      </c>
      <c r="E100" s="1352"/>
      <c r="F100" s="1351">
        <f>SUMIF('D-3 Off-Site Habitat Enhancment'!$AU$12:$AU$258,'Off-site gain site summary'!B100,'D-3 Off-Site Habitat Enhancment'!$AQ$12:$AQ$258)</f>
        <v>0</v>
      </c>
      <c r="G100" s="1352"/>
      <c r="H100" s="1351">
        <f>SUMIF('D-2 Off-Site Habitat Creation'!$AF$11:$AF$256,'Off-site gain site summary'!B100,'D-2 Off-Site Habitat Creation'!$AB$11:$AB$256)</f>
        <v>0</v>
      </c>
      <c r="I100" s="1352"/>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3"/>
      <c r="AF100" s="1353"/>
    </row>
    <row r="101" spans="1:32" x14ac:dyDescent="0.25">
      <c r="A101" s="757">
        <f>'D-1 Off-Site Habitat Baseline'!AF105</f>
        <v>0</v>
      </c>
      <c r="B101" s="764"/>
      <c r="C101" s="762">
        <f>SUMIF('D-1 Off-Site Habitat Baseline'!AF105:AF108,B101,'D-1 Off-Site Habitat Baseline'!T105:T108)</f>
        <v>0</v>
      </c>
      <c r="D101" s="1351">
        <f>SUMIF('D-1 Off-Site Habitat Baseline'!$AF$11:$AF$258,'Off-site gain site summary'!$B$7,'D-1 Off-Site Habitat Baseline'!$X$11:$X$258)</f>
        <v>0</v>
      </c>
      <c r="E101" s="1352"/>
      <c r="F101" s="1351">
        <f>SUMIF('D-3 Off-Site Habitat Enhancment'!$AU$12:$AU$258,'Off-site gain site summary'!B101,'D-3 Off-Site Habitat Enhancment'!$AQ$12:$AQ$258)</f>
        <v>0</v>
      </c>
      <c r="G101" s="1352"/>
      <c r="H101" s="1351">
        <f>SUMIF('D-2 Off-Site Habitat Creation'!$AF$11:$AF$256,'Off-site gain site summary'!B101,'D-2 Off-Site Habitat Creation'!$AB$11:$AB$256)</f>
        <v>0</v>
      </c>
      <c r="I101" s="1352"/>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3"/>
      <c r="AF101" s="1353"/>
    </row>
    <row r="102" spans="1:32" x14ac:dyDescent="0.25">
      <c r="A102" s="757">
        <f>'D-1 Off-Site Habitat Baseline'!AF106</f>
        <v>0</v>
      </c>
      <c r="B102" s="764"/>
      <c r="C102" s="762">
        <f>SUMIF('D-1 Off-Site Habitat Baseline'!AF106:AF109,B102,'D-1 Off-Site Habitat Baseline'!T106:T109)</f>
        <v>0</v>
      </c>
      <c r="D102" s="1351">
        <f>SUMIF('D-1 Off-Site Habitat Baseline'!$AF$11:$AF$258,'Off-site gain site summary'!$B$7,'D-1 Off-Site Habitat Baseline'!$X$11:$X$258)</f>
        <v>0</v>
      </c>
      <c r="E102" s="1352"/>
      <c r="F102" s="1351">
        <f>SUMIF('D-3 Off-Site Habitat Enhancment'!$AU$12:$AU$258,'Off-site gain site summary'!B102,'D-3 Off-Site Habitat Enhancment'!$AQ$12:$AQ$258)</f>
        <v>0</v>
      </c>
      <c r="G102" s="1352"/>
      <c r="H102" s="1351">
        <f>SUMIF('D-2 Off-Site Habitat Creation'!$AF$11:$AF$256,'Off-site gain site summary'!B102,'D-2 Off-Site Habitat Creation'!$AB$11:$AB$256)</f>
        <v>0</v>
      </c>
      <c r="I102" s="1352"/>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3"/>
      <c r="AF102" s="1353"/>
    </row>
    <row r="103" spans="1:32" x14ac:dyDescent="0.25">
      <c r="A103" s="757">
        <f>'D-1 Off-Site Habitat Baseline'!AF107</f>
        <v>0</v>
      </c>
      <c r="B103" s="764"/>
      <c r="C103" s="762">
        <f>SUMIF('D-1 Off-Site Habitat Baseline'!AF107:AF110,B103,'D-1 Off-Site Habitat Baseline'!T107:T110)</f>
        <v>0</v>
      </c>
      <c r="D103" s="1351">
        <f>SUMIF('D-1 Off-Site Habitat Baseline'!$AF$11:$AF$258,'Off-site gain site summary'!$B$7,'D-1 Off-Site Habitat Baseline'!$X$11:$X$258)</f>
        <v>0</v>
      </c>
      <c r="E103" s="1352"/>
      <c r="F103" s="1351">
        <f>SUMIF('D-3 Off-Site Habitat Enhancment'!$AU$12:$AU$258,'Off-site gain site summary'!B103,'D-3 Off-Site Habitat Enhancment'!$AQ$12:$AQ$258)</f>
        <v>0</v>
      </c>
      <c r="G103" s="1352"/>
      <c r="H103" s="1351">
        <f>SUMIF('D-2 Off-Site Habitat Creation'!$AF$11:$AF$256,'Off-site gain site summary'!B103,'D-2 Off-Site Habitat Creation'!$AB$11:$AB$256)</f>
        <v>0</v>
      </c>
      <c r="I103" s="1352"/>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3"/>
      <c r="AF103" s="1353"/>
    </row>
    <row r="104" spans="1:32" x14ac:dyDescent="0.25">
      <c r="A104" s="757">
        <f>'D-1 Off-Site Habitat Baseline'!AF108</f>
        <v>0</v>
      </c>
      <c r="B104" s="764"/>
      <c r="C104" s="762">
        <f>SUMIF('D-1 Off-Site Habitat Baseline'!AF108:AF111,B104,'D-1 Off-Site Habitat Baseline'!T108:T111)</f>
        <v>0</v>
      </c>
      <c r="D104" s="1351">
        <f>SUMIF('D-1 Off-Site Habitat Baseline'!$AF$11:$AF$258,'Off-site gain site summary'!$B$7,'D-1 Off-Site Habitat Baseline'!$X$11:$X$258)</f>
        <v>0</v>
      </c>
      <c r="E104" s="1352"/>
      <c r="F104" s="1351">
        <f>SUMIF('D-3 Off-Site Habitat Enhancment'!$AU$12:$AU$258,'Off-site gain site summary'!B104,'D-3 Off-Site Habitat Enhancment'!$AQ$12:$AQ$258)</f>
        <v>0</v>
      </c>
      <c r="G104" s="1352"/>
      <c r="H104" s="1351">
        <f>SUMIF('D-2 Off-Site Habitat Creation'!$AF$11:$AF$256,'Off-site gain site summary'!B104,'D-2 Off-Site Habitat Creation'!$AB$11:$AB$256)</f>
        <v>0</v>
      </c>
      <c r="I104" s="1352"/>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3"/>
      <c r="AF104" s="1353"/>
    </row>
    <row r="105" spans="1:32" x14ac:dyDescent="0.25">
      <c r="A105" s="757">
        <f>'D-1 Off-Site Habitat Baseline'!AF109</f>
        <v>0</v>
      </c>
      <c r="B105" s="764"/>
      <c r="C105" s="762">
        <f>SUMIF('D-1 Off-Site Habitat Baseline'!AF109:AF112,B105,'D-1 Off-Site Habitat Baseline'!T109:T112)</f>
        <v>0</v>
      </c>
      <c r="D105" s="1351">
        <f>SUMIF('D-1 Off-Site Habitat Baseline'!$AF$11:$AF$258,'Off-site gain site summary'!$B$7,'D-1 Off-Site Habitat Baseline'!$X$11:$X$258)</f>
        <v>0</v>
      </c>
      <c r="E105" s="1352"/>
      <c r="F105" s="1351">
        <f>SUMIF('D-3 Off-Site Habitat Enhancment'!$AU$12:$AU$258,'Off-site gain site summary'!B105,'D-3 Off-Site Habitat Enhancment'!$AQ$12:$AQ$258)</f>
        <v>0</v>
      </c>
      <c r="G105" s="1352"/>
      <c r="H105" s="1351">
        <f>SUMIF('D-2 Off-Site Habitat Creation'!$AF$11:$AF$256,'Off-site gain site summary'!B105,'D-2 Off-Site Habitat Creation'!$AB$11:$AB$256)</f>
        <v>0</v>
      </c>
      <c r="I105" s="1352"/>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3"/>
      <c r="AF105" s="1353"/>
    </row>
    <row r="106" spans="1:32" x14ac:dyDescent="0.25">
      <c r="A106" s="757">
        <f>'D-1 Off-Site Habitat Baseline'!AF110</f>
        <v>0</v>
      </c>
      <c r="B106" s="764"/>
      <c r="C106" s="762">
        <f>SUMIF('D-1 Off-Site Habitat Baseline'!AF110:AF113,B106,'D-1 Off-Site Habitat Baseline'!T110:T113)</f>
        <v>0</v>
      </c>
      <c r="D106" s="1351">
        <f>SUMIF('D-1 Off-Site Habitat Baseline'!$AF$11:$AF$258,'Off-site gain site summary'!$B$7,'D-1 Off-Site Habitat Baseline'!$X$11:$X$258)</f>
        <v>0</v>
      </c>
      <c r="E106" s="1352"/>
      <c r="F106" s="1351">
        <f>SUMIF('D-3 Off-Site Habitat Enhancment'!$AU$12:$AU$258,'Off-site gain site summary'!B106,'D-3 Off-Site Habitat Enhancment'!$AQ$12:$AQ$258)</f>
        <v>0</v>
      </c>
      <c r="G106" s="1352"/>
      <c r="H106" s="1351">
        <f>SUMIF('D-2 Off-Site Habitat Creation'!$AF$11:$AF$256,'Off-site gain site summary'!B106,'D-2 Off-Site Habitat Creation'!$AB$11:$AB$256)</f>
        <v>0</v>
      </c>
      <c r="I106" s="1352"/>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3"/>
      <c r="AF106" s="1353"/>
    </row>
    <row r="107" spans="1:32" ht="15.75" thickBot="1" x14ac:dyDescent="0.3">
      <c r="A107" s="757">
        <f>'D-1 Off-Site Habitat Baseline'!AF111</f>
        <v>0</v>
      </c>
      <c r="B107" s="767"/>
      <c r="C107" s="768">
        <f>SUMIF('D-1 Off-Site Habitat Baseline'!AF111:AF114,B107,'D-1 Off-Site Habitat Baseline'!T111:T114)</f>
        <v>0</v>
      </c>
      <c r="D107" s="1398">
        <f>SUMIF('D-1 Off-Site Habitat Baseline'!$AF$11:$AF$258,'Off-site gain site summary'!$B$7,'D-1 Off-Site Habitat Baseline'!$X$11:$X$258)</f>
        <v>0</v>
      </c>
      <c r="E107" s="1399"/>
      <c r="F107" s="1398">
        <f>SUMIF('D-3 Off-Site Habitat Enhancment'!$AU$12:$AU$258,'Off-site gain site summary'!B107,'D-3 Off-Site Habitat Enhancment'!$AQ$12:$AQ$258)</f>
        <v>0</v>
      </c>
      <c r="G107" s="1399"/>
      <c r="H107" s="1398">
        <f>SUMIF('D-2 Off-Site Habitat Creation'!$AF$11:$AF$256,'Off-site gain site summary'!B107,'D-2 Off-Site Habitat Creation'!$AB$11:$AB$256)</f>
        <v>0</v>
      </c>
      <c r="I107" s="1399"/>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3"/>
      <c r="AF107" s="1353"/>
    </row>
    <row r="108" spans="1:32" ht="15.75" thickBot="1" x14ac:dyDescent="0.3">
      <c r="A108" s="757">
        <f>'D-1 Off-Site Habitat Baseline'!AF112</f>
        <v>0</v>
      </c>
      <c r="B108" s="1394"/>
      <c r="C108" s="1395"/>
      <c r="D108" s="1395"/>
      <c r="E108" s="1395"/>
      <c r="F108" s="1395"/>
      <c r="G108" s="1395"/>
      <c r="H108" s="1395"/>
      <c r="I108" s="1395"/>
      <c r="J108" s="1395"/>
      <c r="K108" s="1395"/>
      <c r="L108" s="1400"/>
      <c r="M108" s="757">
        <f>'E-1 Off-Site Hedge Baseline'!AB111</f>
        <v>0</v>
      </c>
      <c r="N108" s="775"/>
      <c r="O108" s="776"/>
      <c r="P108" s="776"/>
      <c r="Q108" s="776"/>
      <c r="R108" s="776"/>
      <c r="S108" s="776"/>
      <c r="T108" s="776"/>
      <c r="U108" s="777"/>
      <c r="V108" s="1">
        <f>'F-1 Off-Site WaterC'' Baseline'!AG111</f>
        <v>0</v>
      </c>
      <c r="W108" s="1394"/>
      <c r="X108" s="1395"/>
      <c r="Y108" s="1395"/>
      <c r="Z108" s="1395"/>
      <c r="AA108" s="1395"/>
      <c r="AB108" s="1395"/>
      <c r="AC108" s="1395"/>
      <c r="AD108" s="1395"/>
    </row>
    <row r="109" spans="1:32" x14ac:dyDescent="0.25">
      <c r="A109" s="757">
        <f>'D-1 Off-Site Habitat Baseline'!AF113</f>
        <v>0</v>
      </c>
      <c r="M109" s="757">
        <f>'E-1 Off-Site Hedge Baseline'!AB112</f>
        <v>0</v>
      </c>
      <c r="V109" s="1">
        <f>'F-1 Off-Site WaterC'' Baseline'!AG112</f>
        <v>0</v>
      </c>
    </row>
    <row r="110" spans="1:32" x14ac:dyDescent="0.25">
      <c r="A110" s="757">
        <f>'D-1 Off-Site Habitat Baseline'!AF114</f>
        <v>0</v>
      </c>
      <c r="M110" s="757">
        <f>'E-1 Off-Site Hedge Baseline'!AB113</f>
        <v>0</v>
      </c>
      <c r="V110" s="1">
        <f>'F-1 Off-Site WaterC'' Baseline'!AG113</f>
        <v>0</v>
      </c>
    </row>
    <row r="111" spans="1:32" x14ac:dyDescent="0.25">
      <c r="A111" s="757">
        <f>'D-1 Off-Site Habitat Baseline'!AF115</f>
        <v>0</v>
      </c>
      <c r="M111" s="757">
        <f>'E-1 Off-Site Hedge Baseline'!AB114</f>
        <v>0</v>
      </c>
      <c r="V111" s="1">
        <f>'F-1 Off-Site WaterC'' Baseline'!AG114</f>
        <v>0</v>
      </c>
    </row>
    <row r="112" spans="1:32" x14ac:dyDescent="0.25">
      <c r="A112" s="757">
        <f>'D-1 Off-Site Habitat Baseline'!AF116</f>
        <v>0</v>
      </c>
      <c r="M112" s="757">
        <f>'E-1 Off-Site Hedge Baseline'!AB115</f>
        <v>0</v>
      </c>
      <c r="V112" s="1">
        <f>'F-1 Off-Site WaterC'' Baseline'!AG115</f>
        <v>0</v>
      </c>
    </row>
    <row r="113" spans="1:22" x14ac:dyDescent="0.25">
      <c r="A113" s="757">
        <f>'D-1 Off-Site Habitat Baseline'!AF117</f>
        <v>0</v>
      </c>
      <c r="M113" s="757">
        <f>'E-1 Off-Site Hedge Baseline'!AB116</f>
        <v>0</v>
      </c>
      <c r="V113" s="1">
        <f>'F-1 Off-Site WaterC'' Baseline'!AG116</f>
        <v>0</v>
      </c>
    </row>
    <row r="114" spans="1:22" x14ac:dyDescent="0.25">
      <c r="A114" s="757">
        <f>'D-1 Off-Site Habitat Baseline'!AF118</f>
        <v>0</v>
      </c>
      <c r="M114" s="757">
        <f>'E-1 Off-Site Hedge Baseline'!AB117</f>
        <v>0</v>
      </c>
      <c r="V114" s="1">
        <f>'F-1 Off-Site WaterC'' Baseline'!AG117</f>
        <v>0</v>
      </c>
    </row>
    <row r="115" spans="1:22" x14ac:dyDescent="0.25">
      <c r="A115" s="757">
        <f>'D-1 Off-Site Habitat Baseline'!AF119</f>
        <v>0</v>
      </c>
      <c r="M115" s="757">
        <f>'E-1 Off-Site Hedge Baseline'!AB118</f>
        <v>0</v>
      </c>
      <c r="V115" s="1">
        <f>'F-1 Off-Site WaterC'' Baseline'!AG118</f>
        <v>0</v>
      </c>
    </row>
    <row r="116" spans="1:22" x14ac:dyDescent="0.25">
      <c r="A116" s="757">
        <f>'D-1 Off-Site Habitat Baseline'!AF120</f>
        <v>0</v>
      </c>
      <c r="M116" s="757">
        <f>'E-1 Off-Site Hedge Baseline'!AB119</f>
        <v>0</v>
      </c>
      <c r="V116" s="1">
        <f>'F-1 Off-Site WaterC'' Baseline'!AG119</f>
        <v>0</v>
      </c>
    </row>
    <row r="117" spans="1:22" x14ac:dyDescent="0.25">
      <c r="A117" s="757">
        <f>'D-1 Off-Site Habitat Baseline'!AF121</f>
        <v>0</v>
      </c>
      <c r="M117" s="757">
        <f>'E-1 Off-Site Hedge Baseline'!AB120</f>
        <v>0</v>
      </c>
      <c r="V117" s="1">
        <f>'F-1 Off-Site WaterC'' Baseline'!AG120</f>
        <v>0</v>
      </c>
    </row>
    <row r="118" spans="1:22" x14ac:dyDescent="0.25">
      <c r="A118" s="757">
        <f>'D-1 Off-Site Habitat Baseline'!AF122</f>
        <v>0</v>
      </c>
      <c r="M118" s="757">
        <f>'E-1 Off-Site Hedge Baseline'!AB121</f>
        <v>0</v>
      </c>
      <c r="V118" s="1">
        <f>'F-1 Off-Site WaterC'' Baseline'!AG121</f>
        <v>0</v>
      </c>
    </row>
    <row r="119" spans="1:22" x14ac:dyDescent="0.25">
      <c r="A119" s="757">
        <f>'D-1 Off-Site Habitat Baseline'!AF123</f>
        <v>0</v>
      </c>
      <c r="M119" s="757">
        <f>'E-1 Off-Site Hedge Baseline'!AB122</f>
        <v>0</v>
      </c>
      <c r="V119" s="1">
        <f>'F-1 Off-Site WaterC'' Baseline'!AG122</f>
        <v>0</v>
      </c>
    </row>
    <row r="120" spans="1:22" x14ac:dyDescent="0.25">
      <c r="A120" s="757">
        <f>'D-1 Off-Site Habitat Baseline'!AF124</f>
        <v>0</v>
      </c>
      <c r="M120" s="757">
        <f>'E-1 Off-Site Hedge Baseline'!AB123</f>
        <v>0</v>
      </c>
      <c r="V120" s="1">
        <f>'F-1 Off-Site WaterC'' Baseline'!AG123</f>
        <v>0</v>
      </c>
    </row>
    <row r="121" spans="1:22" x14ac:dyDescent="0.25">
      <c r="A121" s="757">
        <f>'D-1 Off-Site Habitat Baseline'!AF125</f>
        <v>0</v>
      </c>
      <c r="M121" s="757">
        <f>'E-1 Off-Site Hedge Baseline'!AB124</f>
        <v>0</v>
      </c>
      <c r="V121" s="1">
        <f>'F-1 Off-Site WaterC'' Baseline'!AG124</f>
        <v>0</v>
      </c>
    </row>
    <row r="122" spans="1:22" x14ac:dyDescent="0.25">
      <c r="A122" s="757">
        <f>'D-1 Off-Site Habitat Baseline'!AF126</f>
        <v>0</v>
      </c>
      <c r="M122" s="757">
        <f>'E-1 Off-Site Hedge Baseline'!AB125</f>
        <v>0</v>
      </c>
      <c r="V122" s="1">
        <f>'F-1 Off-Site WaterC'' Baseline'!AG125</f>
        <v>0</v>
      </c>
    </row>
    <row r="123" spans="1:22" x14ac:dyDescent="0.25">
      <c r="A123" s="757">
        <f>'D-1 Off-Site Habitat Baseline'!AF127</f>
        <v>0</v>
      </c>
      <c r="M123" s="757">
        <f>'E-1 Off-Site Hedge Baseline'!AB126</f>
        <v>0</v>
      </c>
      <c r="V123" s="1">
        <f>'F-1 Off-Site WaterC'' Baseline'!AG126</f>
        <v>0</v>
      </c>
    </row>
    <row r="124" spans="1:22" x14ac:dyDescent="0.25">
      <c r="A124" s="757">
        <f>'D-1 Off-Site Habitat Baseline'!AF128</f>
        <v>0</v>
      </c>
      <c r="M124" s="757">
        <f>'E-1 Off-Site Hedge Baseline'!AB127</f>
        <v>0</v>
      </c>
      <c r="V124" s="1">
        <f>'F-1 Off-Site WaterC'' Baseline'!AG127</f>
        <v>0</v>
      </c>
    </row>
    <row r="125" spans="1:22" x14ac:dyDescent="0.25">
      <c r="A125" s="757">
        <f>'D-1 Off-Site Habitat Baseline'!AF129</f>
        <v>0</v>
      </c>
      <c r="M125" s="757">
        <f>'E-1 Off-Site Hedge Baseline'!AB128</f>
        <v>0</v>
      </c>
      <c r="V125" s="1">
        <f>'F-1 Off-Site WaterC'' Baseline'!AG128</f>
        <v>0</v>
      </c>
    </row>
    <row r="126" spans="1:22" x14ac:dyDescent="0.25">
      <c r="A126" s="757">
        <f>'D-1 Off-Site Habitat Baseline'!AF130</f>
        <v>0</v>
      </c>
      <c r="M126" s="757">
        <f>'E-1 Off-Site Hedge Baseline'!AB129</f>
        <v>0</v>
      </c>
      <c r="V126" s="1">
        <f>'F-1 Off-Site WaterC'' Baseline'!AG129</f>
        <v>0</v>
      </c>
    </row>
    <row r="127" spans="1:22" x14ac:dyDescent="0.25">
      <c r="A127" s="757">
        <f>'D-1 Off-Site Habitat Baseline'!AF131</f>
        <v>0</v>
      </c>
      <c r="M127" s="757">
        <f>'E-1 Off-Site Hedge Baseline'!AB130</f>
        <v>0</v>
      </c>
      <c r="V127" s="1">
        <f>'F-1 Off-Site WaterC'' Baseline'!AG130</f>
        <v>0</v>
      </c>
    </row>
    <row r="128" spans="1:22" x14ac:dyDescent="0.25">
      <c r="A128" s="757">
        <f>'D-1 Off-Site Habitat Baseline'!AF132</f>
        <v>0</v>
      </c>
      <c r="M128" s="757">
        <f>'E-1 Off-Site Hedge Baseline'!AB131</f>
        <v>0</v>
      </c>
      <c r="V128" s="1">
        <f>'F-1 Off-Site WaterC'' Baseline'!AG131</f>
        <v>0</v>
      </c>
    </row>
    <row r="129" spans="1:22" x14ac:dyDescent="0.25">
      <c r="A129" s="757">
        <f>'D-1 Off-Site Habitat Baseline'!AF133</f>
        <v>0</v>
      </c>
      <c r="M129" s="757">
        <f>'E-1 Off-Site Hedge Baseline'!AB132</f>
        <v>0</v>
      </c>
      <c r="V129" s="1">
        <f>'F-1 Off-Site WaterC'' Baseline'!AG132</f>
        <v>0</v>
      </c>
    </row>
    <row r="130" spans="1:22" x14ac:dyDescent="0.25">
      <c r="A130" s="757">
        <f>'D-1 Off-Site Habitat Baseline'!AF134</f>
        <v>0</v>
      </c>
      <c r="M130" s="757">
        <f>'E-1 Off-Site Hedge Baseline'!AB133</f>
        <v>0</v>
      </c>
      <c r="V130" s="1">
        <f>'F-1 Off-Site WaterC'' Baseline'!AG133</f>
        <v>0</v>
      </c>
    </row>
    <row r="131" spans="1:22" x14ac:dyDescent="0.25">
      <c r="A131" s="757">
        <f>'D-1 Off-Site Habitat Baseline'!AF135</f>
        <v>0</v>
      </c>
      <c r="M131" s="757">
        <f>'E-1 Off-Site Hedge Baseline'!AB134</f>
        <v>0</v>
      </c>
      <c r="V131" s="1">
        <f>'F-1 Off-Site WaterC'' Baseline'!AG134</f>
        <v>0</v>
      </c>
    </row>
    <row r="132" spans="1:22" x14ac:dyDescent="0.25">
      <c r="A132" s="757">
        <f>'D-1 Off-Site Habitat Baseline'!AF136</f>
        <v>0</v>
      </c>
      <c r="M132" s="757">
        <f>'E-1 Off-Site Hedge Baseline'!AB135</f>
        <v>0</v>
      </c>
      <c r="V132" s="1">
        <f>'F-1 Off-Site WaterC'' Baseline'!AG135</f>
        <v>0</v>
      </c>
    </row>
    <row r="133" spans="1:22" x14ac:dyDescent="0.25">
      <c r="A133" s="757">
        <f>'D-1 Off-Site Habitat Baseline'!AF137</f>
        <v>0</v>
      </c>
      <c r="M133" s="757">
        <f>'E-1 Off-Site Hedge Baseline'!AB136</f>
        <v>0</v>
      </c>
      <c r="V133" s="1">
        <f>'F-1 Off-Site WaterC'' Baseline'!AG136</f>
        <v>0</v>
      </c>
    </row>
    <row r="134" spans="1:22" x14ac:dyDescent="0.25">
      <c r="A134" s="757">
        <f>'D-1 Off-Site Habitat Baseline'!AF138</f>
        <v>0</v>
      </c>
      <c r="M134" s="757">
        <f>'E-1 Off-Site Hedge Baseline'!AB137</f>
        <v>0</v>
      </c>
      <c r="V134" s="1">
        <f>'F-1 Off-Site WaterC'' Baseline'!AG137</f>
        <v>0</v>
      </c>
    </row>
    <row r="135" spans="1:22" x14ac:dyDescent="0.25">
      <c r="A135" s="757">
        <f>'D-1 Off-Site Habitat Baseline'!AF139</f>
        <v>0</v>
      </c>
      <c r="M135" s="757">
        <f>'E-1 Off-Site Hedge Baseline'!AB138</f>
        <v>0</v>
      </c>
      <c r="V135" s="1">
        <f>'F-1 Off-Site WaterC'' Baseline'!AG138</f>
        <v>0</v>
      </c>
    </row>
    <row r="136" spans="1:22" x14ac:dyDescent="0.25">
      <c r="A136" s="757">
        <f>'D-1 Off-Site Habitat Baseline'!AF140</f>
        <v>0</v>
      </c>
      <c r="M136" s="757">
        <f>'E-1 Off-Site Hedge Baseline'!AB139</f>
        <v>0</v>
      </c>
      <c r="V136" s="1">
        <f>'F-1 Off-Site WaterC'' Baseline'!AG139</f>
        <v>0</v>
      </c>
    </row>
    <row r="137" spans="1:22" x14ac:dyDescent="0.25">
      <c r="A137" s="757">
        <f>'D-1 Off-Site Habitat Baseline'!AF141</f>
        <v>0</v>
      </c>
      <c r="M137" s="757">
        <f>'E-1 Off-Site Hedge Baseline'!AB140</f>
        <v>0</v>
      </c>
      <c r="V137" s="1">
        <f>'F-1 Off-Site WaterC'' Baseline'!AG140</f>
        <v>0</v>
      </c>
    </row>
    <row r="138" spans="1:22" x14ac:dyDescent="0.25">
      <c r="A138" s="757">
        <f>'D-1 Off-Site Habitat Baseline'!AF142</f>
        <v>0</v>
      </c>
      <c r="M138" s="757">
        <f>'E-1 Off-Site Hedge Baseline'!AB141</f>
        <v>0</v>
      </c>
      <c r="V138" s="1">
        <f>'F-1 Off-Site WaterC'' Baseline'!AG141</f>
        <v>0</v>
      </c>
    </row>
    <row r="139" spans="1:22" x14ac:dyDescent="0.25">
      <c r="A139" s="757">
        <f>'D-1 Off-Site Habitat Baseline'!AF143</f>
        <v>0</v>
      </c>
      <c r="M139" s="757">
        <f>'E-1 Off-Site Hedge Baseline'!AB142</f>
        <v>0</v>
      </c>
      <c r="V139" s="1">
        <f>'F-1 Off-Site WaterC'' Baseline'!AG142</f>
        <v>0</v>
      </c>
    </row>
    <row r="140" spans="1:22" x14ac:dyDescent="0.25">
      <c r="A140" s="757">
        <f>'D-1 Off-Site Habitat Baseline'!AF144</f>
        <v>0</v>
      </c>
      <c r="M140" s="757">
        <f>'E-1 Off-Site Hedge Baseline'!AB143</f>
        <v>0</v>
      </c>
      <c r="V140" s="1">
        <f>'F-1 Off-Site WaterC'' Baseline'!AG143</f>
        <v>0</v>
      </c>
    </row>
    <row r="141" spans="1:22" x14ac:dyDescent="0.25">
      <c r="A141" s="757">
        <f>'D-1 Off-Site Habitat Baseline'!AF145</f>
        <v>0</v>
      </c>
      <c r="M141" s="757">
        <f>'E-1 Off-Site Hedge Baseline'!AB144</f>
        <v>0</v>
      </c>
      <c r="V141" s="1">
        <f>'F-1 Off-Site WaterC'' Baseline'!AG144</f>
        <v>0</v>
      </c>
    </row>
    <row r="142" spans="1:22" x14ac:dyDescent="0.25">
      <c r="A142" s="757">
        <f>'D-1 Off-Site Habitat Baseline'!AF146</f>
        <v>0</v>
      </c>
      <c r="M142" s="757">
        <f>'E-1 Off-Site Hedge Baseline'!AB145</f>
        <v>0</v>
      </c>
      <c r="V142" s="1">
        <f>'F-1 Off-Site WaterC'' Baseline'!AG145</f>
        <v>0</v>
      </c>
    </row>
    <row r="143" spans="1:22" x14ac:dyDescent="0.25">
      <c r="A143" s="757">
        <f>'D-1 Off-Site Habitat Baseline'!AF147</f>
        <v>0</v>
      </c>
      <c r="M143" s="757">
        <f>'E-1 Off-Site Hedge Baseline'!AB146</f>
        <v>0</v>
      </c>
      <c r="V143" s="1">
        <f>'F-1 Off-Site WaterC'' Baseline'!AG146</f>
        <v>0</v>
      </c>
    </row>
    <row r="144" spans="1:22" x14ac:dyDescent="0.25">
      <c r="A144" s="757">
        <f>'D-1 Off-Site Habitat Baseline'!AF148</f>
        <v>0</v>
      </c>
      <c r="M144" s="757">
        <f>'E-1 Off-Site Hedge Baseline'!AB147</f>
        <v>0</v>
      </c>
      <c r="V144" s="1">
        <f>'F-1 Off-Site WaterC'' Baseline'!AG147</f>
        <v>0</v>
      </c>
    </row>
    <row r="145" spans="1:22" x14ac:dyDescent="0.25">
      <c r="A145" s="757">
        <f>'D-1 Off-Site Habitat Baseline'!AF149</f>
        <v>0</v>
      </c>
      <c r="M145" s="757">
        <f>'E-1 Off-Site Hedge Baseline'!AB148</f>
        <v>0</v>
      </c>
      <c r="V145" s="1">
        <f>'F-1 Off-Site WaterC'' Baseline'!AG148</f>
        <v>0</v>
      </c>
    </row>
    <row r="146" spans="1:22" x14ac:dyDescent="0.25">
      <c r="A146" s="757">
        <f>'D-1 Off-Site Habitat Baseline'!AF150</f>
        <v>0</v>
      </c>
      <c r="M146" s="757">
        <f>'E-1 Off-Site Hedge Baseline'!AB149</f>
        <v>0</v>
      </c>
      <c r="V146" s="1">
        <f>'F-1 Off-Site WaterC'' Baseline'!AG149</f>
        <v>0</v>
      </c>
    </row>
    <row r="147" spans="1:22" x14ac:dyDescent="0.25">
      <c r="A147" s="757">
        <f>'D-1 Off-Site Habitat Baseline'!AF151</f>
        <v>0</v>
      </c>
      <c r="M147" s="757">
        <f>'E-1 Off-Site Hedge Baseline'!AB150</f>
        <v>0</v>
      </c>
      <c r="V147" s="1">
        <f>'F-1 Off-Site WaterC'' Baseline'!AG150</f>
        <v>0</v>
      </c>
    </row>
    <row r="148" spans="1:22" x14ac:dyDescent="0.25">
      <c r="A148" s="757">
        <f>'D-1 Off-Site Habitat Baseline'!AF152</f>
        <v>0</v>
      </c>
      <c r="M148" s="757">
        <f>'E-1 Off-Site Hedge Baseline'!AB151</f>
        <v>0</v>
      </c>
      <c r="V148" s="1">
        <f>'F-1 Off-Site WaterC'' Baseline'!AG151</f>
        <v>0</v>
      </c>
    </row>
    <row r="149" spans="1:22" x14ac:dyDescent="0.25">
      <c r="A149" s="757">
        <f>'D-1 Off-Site Habitat Baseline'!AF153</f>
        <v>0</v>
      </c>
      <c r="M149" s="757">
        <f>'E-1 Off-Site Hedge Baseline'!AB152</f>
        <v>0</v>
      </c>
      <c r="V149" s="1">
        <f>'F-1 Off-Site WaterC'' Baseline'!AG152</f>
        <v>0</v>
      </c>
    </row>
    <row r="150" spans="1:22" x14ac:dyDescent="0.25">
      <c r="A150" s="757">
        <f>'D-1 Off-Site Habitat Baseline'!AF154</f>
        <v>0</v>
      </c>
      <c r="M150" s="757">
        <f>'E-1 Off-Site Hedge Baseline'!AB153</f>
        <v>0</v>
      </c>
      <c r="V150" s="1">
        <f>'F-1 Off-Site WaterC'' Baseline'!AG153</f>
        <v>0</v>
      </c>
    </row>
    <row r="151" spans="1:22" x14ac:dyDescent="0.25">
      <c r="A151" s="757">
        <f>'D-1 Off-Site Habitat Baseline'!AF155</f>
        <v>0</v>
      </c>
      <c r="M151" s="757">
        <f>'E-1 Off-Site Hedge Baseline'!AB154</f>
        <v>0</v>
      </c>
      <c r="V151" s="1">
        <f>'F-1 Off-Site WaterC'' Baseline'!AG154</f>
        <v>0</v>
      </c>
    </row>
    <row r="152" spans="1:22" x14ac:dyDescent="0.25">
      <c r="A152" s="757">
        <f>'D-1 Off-Site Habitat Baseline'!AF156</f>
        <v>0</v>
      </c>
      <c r="M152" s="757">
        <f>'E-1 Off-Site Hedge Baseline'!AB155</f>
        <v>0</v>
      </c>
      <c r="V152" s="1">
        <f>'F-1 Off-Site WaterC'' Baseline'!AG155</f>
        <v>0</v>
      </c>
    </row>
    <row r="153" spans="1:22" x14ac:dyDescent="0.25">
      <c r="A153" s="757">
        <f>'D-1 Off-Site Habitat Baseline'!AF157</f>
        <v>0</v>
      </c>
      <c r="M153" s="757">
        <f>'E-1 Off-Site Hedge Baseline'!AB156</f>
        <v>0</v>
      </c>
      <c r="V153" s="1">
        <f>'F-1 Off-Site WaterC'' Baseline'!AG156</f>
        <v>0</v>
      </c>
    </row>
    <row r="154" spans="1:22" x14ac:dyDescent="0.25">
      <c r="A154" s="757">
        <f>'D-1 Off-Site Habitat Baseline'!AF158</f>
        <v>0</v>
      </c>
      <c r="M154" s="757">
        <f>'E-1 Off-Site Hedge Baseline'!AB157</f>
        <v>0</v>
      </c>
      <c r="V154" s="1">
        <f>'F-1 Off-Site WaterC'' Baseline'!AG157</f>
        <v>0</v>
      </c>
    </row>
    <row r="155" spans="1:22" x14ac:dyDescent="0.25">
      <c r="A155" s="757">
        <f>'D-1 Off-Site Habitat Baseline'!AF159</f>
        <v>0</v>
      </c>
      <c r="M155" s="757">
        <f>'E-1 Off-Site Hedge Baseline'!AB158</f>
        <v>0</v>
      </c>
      <c r="V155" s="1">
        <f>'F-1 Off-Site WaterC'' Baseline'!AG158</f>
        <v>0</v>
      </c>
    </row>
    <row r="156" spans="1:22" x14ac:dyDescent="0.25">
      <c r="A156" s="757">
        <f>'D-1 Off-Site Habitat Baseline'!AF160</f>
        <v>0</v>
      </c>
      <c r="M156" s="757">
        <f>'E-1 Off-Site Hedge Baseline'!AB159</f>
        <v>0</v>
      </c>
      <c r="V156" s="1">
        <f>'F-1 Off-Site WaterC'' Baseline'!AG159</f>
        <v>0</v>
      </c>
    </row>
    <row r="157" spans="1:22" x14ac:dyDescent="0.25">
      <c r="A157" s="757">
        <f>'D-1 Off-Site Habitat Baseline'!AF161</f>
        <v>0</v>
      </c>
      <c r="M157" s="757">
        <f>'E-1 Off-Site Hedge Baseline'!AB160</f>
        <v>0</v>
      </c>
      <c r="V157" s="1">
        <f>'F-1 Off-Site WaterC'' Baseline'!AG160</f>
        <v>0</v>
      </c>
    </row>
    <row r="158" spans="1:22" x14ac:dyDescent="0.25">
      <c r="A158" s="757">
        <f>'D-1 Off-Site Habitat Baseline'!AF162</f>
        <v>0</v>
      </c>
      <c r="M158" s="757">
        <f>'E-1 Off-Site Hedge Baseline'!AB161</f>
        <v>0</v>
      </c>
      <c r="V158" s="1">
        <f>'F-1 Off-Site WaterC'' Baseline'!AG161</f>
        <v>0</v>
      </c>
    </row>
    <row r="159" spans="1:22" x14ac:dyDescent="0.25">
      <c r="A159" s="757">
        <f>'D-1 Off-Site Habitat Baseline'!AF163</f>
        <v>0</v>
      </c>
      <c r="M159" s="757">
        <f>'E-1 Off-Site Hedge Baseline'!AB162</f>
        <v>0</v>
      </c>
      <c r="V159" s="1">
        <f>'F-1 Off-Site WaterC'' Baseline'!AG162</f>
        <v>0</v>
      </c>
    </row>
    <row r="160" spans="1:22" x14ac:dyDescent="0.25">
      <c r="A160" s="757">
        <f>'D-1 Off-Site Habitat Baseline'!AF164</f>
        <v>0</v>
      </c>
      <c r="M160" s="757">
        <f>'E-1 Off-Site Hedge Baseline'!AB163</f>
        <v>0</v>
      </c>
      <c r="V160" s="1">
        <f>'F-1 Off-Site WaterC'' Baseline'!AG163</f>
        <v>0</v>
      </c>
    </row>
    <row r="161" spans="1:22" x14ac:dyDescent="0.25">
      <c r="A161" s="757">
        <f>'D-1 Off-Site Habitat Baseline'!AF165</f>
        <v>0</v>
      </c>
      <c r="M161" s="757">
        <f>'E-1 Off-Site Hedge Baseline'!AB164</f>
        <v>0</v>
      </c>
      <c r="V161" s="1">
        <f>'F-1 Off-Site WaterC'' Baseline'!AG164</f>
        <v>0</v>
      </c>
    </row>
    <row r="162" spans="1:22" x14ac:dyDescent="0.25">
      <c r="A162" s="757">
        <f>'D-1 Off-Site Habitat Baseline'!AF166</f>
        <v>0</v>
      </c>
      <c r="M162" s="757">
        <f>'E-1 Off-Site Hedge Baseline'!AB165</f>
        <v>0</v>
      </c>
      <c r="V162" s="1">
        <f>'F-1 Off-Site WaterC'' Baseline'!AG165</f>
        <v>0</v>
      </c>
    </row>
    <row r="163" spans="1:22" x14ac:dyDescent="0.25">
      <c r="A163" s="757">
        <f>'D-1 Off-Site Habitat Baseline'!AF167</f>
        <v>0</v>
      </c>
      <c r="M163" s="757">
        <f>'E-1 Off-Site Hedge Baseline'!AB166</f>
        <v>0</v>
      </c>
      <c r="V163" s="1">
        <f>'F-1 Off-Site WaterC'' Baseline'!AG166</f>
        <v>0</v>
      </c>
    </row>
    <row r="164" spans="1:22" x14ac:dyDescent="0.25">
      <c r="A164" s="757">
        <f>'D-1 Off-Site Habitat Baseline'!AF168</f>
        <v>0</v>
      </c>
      <c r="M164" s="757">
        <f>'E-1 Off-Site Hedge Baseline'!AB167</f>
        <v>0</v>
      </c>
      <c r="V164" s="1">
        <f>'F-1 Off-Site WaterC'' Baseline'!AG167</f>
        <v>0</v>
      </c>
    </row>
    <row r="165" spans="1:22" x14ac:dyDescent="0.25">
      <c r="A165" s="757">
        <f>'D-1 Off-Site Habitat Baseline'!AF169</f>
        <v>0</v>
      </c>
      <c r="M165" s="757">
        <f>'E-1 Off-Site Hedge Baseline'!AB168</f>
        <v>0</v>
      </c>
      <c r="V165" s="1">
        <f>'F-1 Off-Site WaterC'' Baseline'!AG168</f>
        <v>0</v>
      </c>
    </row>
    <row r="166" spans="1:22" x14ac:dyDescent="0.25">
      <c r="A166" s="757">
        <f>'D-1 Off-Site Habitat Baseline'!AF170</f>
        <v>0</v>
      </c>
      <c r="M166" s="757">
        <f>'E-1 Off-Site Hedge Baseline'!AB169</f>
        <v>0</v>
      </c>
      <c r="V166" s="1">
        <f>'F-1 Off-Site WaterC'' Baseline'!AG169</f>
        <v>0</v>
      </c>
    </row>
    <row r="167" spans="1:22" x14ac:dyDescent="0.25">
      <c r="A167" s="757">
        <f>'D-1 Off-Site Habitat Baseline'!AF171</f>
        <v>0</v>
      </c>
      <c r="M167" s="757">
        <f>'E-1 Off-Site Hedge Baseline'!AB170</f>
        <v>0</v>
      </c>
      <c r="V167" s="1">
        <f>'F-1 Off-Site WaterC'' Baseline'!AG170</f>
        <v>0</v>
      </c>
    </row>
    <row r="168" spans="1:22" x14ac:dyDescent="0.25">
      <c r="A168" s="757">
        <f>'D-1 Off-Site Habitat Baseline'!AF172</f>
        <v>0</v>
      </c>
      <c r="M168" s="757">
        <f>'E-1 Off-Site Hedge Baseline'!AB171</f>
        <v>0</v>
      </c>
      <c r="V168" s="1">
        <f>'F-1 Off-Site WaterC'' Baseline'!AG171</f>
        <v>0</v>
      </c>
    </row>
    <row r="169" spans="1:22" x14ac:dyDescent="0.25">
      <c r="A169" s="757">
        <f>'D-1 Off-Site Habitat Baseline'!AF173</f>
        <v>0</v>
      </c>
      <c r="M169" s="757">
        <f>'E-1 Off-Site Hedge Baseline'!AB172</f>
        <v>0</v>
      </c>
      <c r="V169" s="1">
        <f>'F-1 Off-Site WaterC'' Baseline'!AG172</f>
        <v>0</v>
      </c>
    </row>
    <row r="170" spans="1:22" x14ac:dyDescent="0.25">
      <c r="A170" s="757">
        <f>'D-1 Off-Site Habitat Baseline'!AF174</f>
        <v>0</v>
      </c>
      <c r="M170" s="757">
        <f>'E-1 Off-Site Hedge Baseline'!AB173</f>
        <v>0</v>
      </c>
      <c r="V170" s="1">
        <f>'F-1 Off-Site WaterC'' Baseline'!AG173</f>
        <v>0</v>
      </c>
    </row>
    <row r="171" spans="1:22" x14ac:dyDescent="0.25">
      <c r="A171" s="757">
        <f>'D-1 Off-Site Habitat Baseline'!AF175</f>
        <v>0</v>
      </c>
      <c r="M171" s="757">
        <f>'E-1 Off-Site Hedge Baseline'!AB174</f>
        <v>0</v>
      </c>
      <c r="V171" s="1">
        <f>'F-1 Off-Site WaterC'' Baseline'!AG174</f>
        <v>0</v>
      </c>
    </row>
    <row r="172" spans="1:22" x14ac:dyDescent="0.25">
      <c r="A172" s="757">
        <f>'D-1 Off-Site Habitat Baseline'!AF176</f>
        <v>0</v>
      </c>
      <c r="M172" s="757">
        <f>'E-1 Off-Site Hedge Baseline'!AB175</f>
        <v>0</v>
      </c>
      <c r="V172" s="1">
        <f>'F-1 Off-Site WaterC'' Baseline'!AG175</f>
        <v>0</v>
      </c>
    </row>
    <row r="173" spans="1:22" x14ac:dyDescent="0.25">
      <c r="A173" s="757">
        <f>'D-1 Off-Site Habitat Baseline'!AF177</f>
        <v>0</v>
      </c>
      <c r="M173" s="757">
        <f>'E-1 Off-Site Hedge Baseline'!AB176</f>
        <v>0</v>
      </c>
      <c r="V173" s="1">
        <f>'F-1 Off-Site WaterC'' Baseline'!AG176</f>
        <v>0</v>
      </c>
    </row>
    <row r="174" spans="1:22" x14ac:dyDescent="0.25">
      <c r="A174" s="757">
        <f>'D-1 Off-Site Habitat Baseline'!AF178</f>
        <v>0</v>
      </c>
      <c r="M174" s="757">
        <f>'E-1 Off-Site Hedge Baseline'!AB177</f>
        <v>0</v>
      </c>
      <c r="V174" s="1">
        <f>'F-1 Off-Site WaterC'' Baseline'!AG177</f>
        <v>0</v>
      </c>
    </row>
    <row r="175" spans="1:22" x14ac:dyDescent="0.25">
      <c r="A175" s="757">
        <f>'D-1 Off-Site Habitat Baseline'!AF179</f>
        <v>0</v>
      </c>
      <c r="M175" s="757">
        <f>'E-1 Off-Site Hedge Baseline'!AB178</f>
        <v>0</v>
      </c>
      <c r="V175" s="1">
        <f>'F-1 Off-Site WaterC'' Baseline'!AG178</f>
        <v>0</v>
      </c>
    </row>
    <row r="176" spans="1:22" x14ac:dyDescent="0.25">
      <c r="A176" s="757">
        <f>'D-1 Off-Site Habitat Baseline'!AF180</f>
        <v>0</v>
      </c>
      <c r="M176" s="757">
        <f>'E-1 Off-Site Hedge Baseline'!AB179</f>
        <v>0</v>
      </c>
      <c r="V176" s="1">
        <f>'F-1 Off-Site WaterC'' Baseline'!AG179</f>
        <v>0</v>
      </c>
    </row>
    <row r="177" spans="1:22" x14ac:dyDescent="0.25">
      <c r="A177" s="757">
        <f>'D-1 Off-Site Habitat Baseline'!AF181</f>
        <v>0</v>
      </c>
      <c r="M177" s="757">
        <f>'E-1 Off-Site Hedge Baseline'!AB180</f>
        <v>0</v>
      </c>
      <c r="V177" s="1">
        <f>'F-1 Off-Site WaterC'' Baseline'!AG180</f>
        <v>0</v>
      </c>
    </row>
    <row r="178" spans="1:22" x14ac:dyDescent="0.25">
      <c r="A178" s="757">
        <f>'D-1 Off-Site Habitat Baseline'!AF182</f>
        <v>0</v>
      </c>
      <c r="M178" s="757">
        <f>'E-1 Off-Site Hedge Baseline'!AB181</f>
        <v>0</v>
      </c>
      <c r="V178" s="1">
        <f>'F-1 Off-Site WaterC'' Baseline'!AG181</f>
        <v>0</v>
      </c>
    </row>
    <row r="179" spans="1:22" x14ac:dyDescent="0.25">
      <c r="A179" s="757">
        <f>'D-1 Off-Site Habitat Baseline'!AF183</f>
        <v>0</v>
      </c>
      <c r="M179" s="757">
        <f>'E-1 Off-Site Hedge Baseline'!AB182</f>
        <v>0</v>
      </c>
      <c r="V179" s="1">
        <f>'F-1 Off-Site WaterC'' Baseline'!AG182</f>
        <v>0</v>
      </c>
    </row>
    <row r="180" spans="1:22" x14ac:dyDescent="0.25">
      <c r="A180" s="757">
        <f>'D-1 Off-Site Habitat Baseline'!AF184</f>
        <v>0</v>
      </c>
      <c r="M180" s="757">
        <f>'E-1 Off-Site Hedge Baseline'!AB183</f>
        <v>0</v>
      </c>
      <c r="V180" s="1">
        <f>'F-1 Off-Site WaterC'' Baseline'!AG183</f>
        <v>0</v>
      </c>
    </row>
    <row r="181" spans="1:22" x14ac:dyDescent="0.25">
      <c r="A181" s="757">
        <f>'D-1 Off-Site Habitat Baseline'!AF185</f>
        <v>0</v>
      </c>
      <c r="M181" s="757">
        <f>'E-1 Off-Site Hedge Baseline'!AB184</f>
        <v>0</v>
      </c>
      <c r="V181" s="1">
        <f>'F-1 Off-Site WaterC'' Baseline'!AG184</f>
        <v>0</v>
      </c>
    </row>
    <row r="182" spans="1:22" x14ac:dyDescent="0.25">
      <c r="A182" s="757">
        <f>'D-1 Off-Site Habitat Baseline'!AF186</f>
        <v>0</v>
      </c>
      <c r="M182" s="757">
        <f>'E-1 Off-Site Hedge Baseline'!AB185</f>
        <v>0</v>
      </c>
      <c r="V182" s="1">
        <f>'F-1 Off-Site WaterC'' Baseline'!AG185</f>
        <v>0</v>
      </c>
    </row>
    <row r="183" spans="1:22" x14ac:dyDescent="0.25">
      <c r="A183" s="757">
        <f>'D-1 Off-Site Habitat Baseline'!AF187</f>
        <v>0</v>
      </c>
      <c r="M183" s="757">
        <f>'E-1 Off-Site Hedge Baseline'!AB186</f>
        <v>0</v>
      </c>
      <c r="V183" s="1">
        <f>'F-1 Off-Site WaterC'' Baseline'!AG186</f>
        <v>0</v>
      </c>
    </row>
    <row r="184" spans="1:22" x14ac:dyDescent="0.25">
      <c r="A184" s="757">
        <f>'D-1 Off-Site Habitat Baseline'!AF188</f>
        <v>0</v>
      </c>
      <c r="M184" s="757">
        <f>'E-1 Off-Site Hedge Baseline'!AB187</f>
        <v>0</v>
      </c>
      <c r="V184" s="1">
        <f>'F-1 Off-Site WaterC'' Baseline'!AG187</f>
        <v>0</v>
      </c>
    </row>
    <row r="185" spans="1:22" x14ac:dyDescent="0.25">
      <c r="A185" s="757">
        <f>'D-1 Off-Site Habitat Baseline'!AF189</f>
        <v>0</v>
      </c>
      <c r="M185" s="757">
        <f>'E-1 Off-Site Hedge Baseline'!AB188</f>
        <v>0</v>
      </c>
      <c r="V185" s="1">
        <f>'F-1 Off-Site WaterC'' Baseline'!AG188</f>
        <v>0</v>
      </c>
    </row>
    <row r="186" spans="1:22" x14ac:dyDescent="0.25">
      <c r="A186" s="757">
        <f>'D-1 Off-Site Habitat Baseline'!AF190</f>
        <v>0</v>
      </c>
      <c r="M186" s="757">
        <f>'E-1 Off-Site Hedge Baseline'!AB189</f>
        <v>0</v>
      </c>
      <c r="V186" s="1">
        <f>'F-1 Off-Site WaterC'' Baseline'!AG189</f>
        <v>0</v>
      </c>
    </row>
    <row r="187" spans="1:22" x14ac:dyDescent="0.25">
      <c r="A187" s="757">
        <f>'D-1 Off-Site Habitat Baseline'!AF191</f>
        <v>0</v>
      </c>
      <c r="M187" s="757">
        <f>'E-1 Off-Site Hedge Baseline'!AB190</f>
        <v>0</v>
      </c>
      <c r="V187" s="1">
        <f>'F-1 Off-Site WaterC'' Baseline'!AG190</f>
        <v>0</v>
      </c>
    </row>
    <row r="188" spans="1:22" x14ac:dyDescent="0.25">
      <c r="A188" s="757">
        <f>'D-1 Off-Site Habitat Baseline'!AF192</f>
        <v>0</v>
      </c>
      <c r="M188" s="757">
        <f>'E-1 Off-Site Hedge Baseline'!AB191</f>
        <v>0</v>
      </c>
      <c r="V188" s="1">
        <f>'F-1 Off-Site WaterC'' Baseline'!AG191</f>
        <v>0</v>
      </c>
    </row>
    <row r="189" spans="1:22" x14ac:dyDescent="0.25">
      <c r="A189" s="757">
        <f>'D-1 Off-Site Habitat Baseline'!AF193</f>
        <v>0</v>
      </c>
      <c r="M189" s="757">
        <f>'E-1 Off-Site Hedge Baseline'!AB192</f>
        <v>0</v>
      </c>
      <c r="V189" s="1">
        <f>'F-1 Off-Site WaterC'' Baseline'!AG192</f>
        <v>0</v>
      </c>
    </row>
    <row r="190" spans="1:22" x14ac:dyDescent="0.25">
      <c r="A190" s="757">
        <f>'D-1 Off-Site Habitat Baseline'!AF194</f>
        <v>0</v>
      </c>
      <c r="M190" s="757">
        <f>'E-1 Off-Site Hedge Baseline'!AB193</f>
        <v>0</v>
      </c>
      <c r="V190" s="1">
        <f>'F-1 Off-Site WaterC'' Baseline'!AG193</f>
        <v>0</v>
      </c>
    </row>
    <row r="191" spans="1:22" x14ac:dyDescent="0.25">
      <c r="A191" s="757">
        <f>'D-1 Off-Site Habitat Baseline'!AF195</f>
        <v>0</v>
      </c>
      <c r="M191" s="757">
        <f>'E-1 Off-Site Hedge Baseline'!AB194</f>
        <v>0</v>
      </c>
      <c r="V191" s="1">
        <f>'F-1 Off-Site WaterC'' Baseline'!AG194</f>
        <v>0</v>
      </c>
    </row>
    <row r="192" spans="1:22" x14ac:dyDescent="0.25">
      <c r="A192" s="757">
        <f>'D-1 Off-Site Habitat Baseline'!AF196</f>
        <v>0</v>
      </c>
      <c r="M192" s="757">
        <f>'E-1 Off-Site Hedge Baseline'!AB195</f>
        <v>0</v>
      </c>
      <c r="V192" s="1">
        <f>'F-1 Off-Site WaterC'' Baseline'!AG195</f>
        <v>0</v>
      </c>
    </row>
    <row r="193" spans="1:22" x14ac:dyDescent="0.25">
      <c r="A193" s="757">
        <f>'D-1 Off-Site Habitat Baseline'!AF197</f>
        <v>0</v>
      </c>
      <c r="M193" s="757">
        <f>'E-1 Off-Site Hedge Baseline'!AB196</f>
        <v>0</v>
      </c>
      <c r="V193" s="1">
        <f>'F-1 Off-Site WaterC'' Baseline'!AG196</f>
        <v>0</v>
      </c>
    </row>
    <row r="194" spans="1:22" x14ac:dyDescent="0.25">
      <c r="A194" s="757">
        <f>'D-1 Off-Site Habitat Baseline'!AF198</f>
        <v>0</v>
      </c>
      <c r="M194" s="757">
        <f>'E-1 Off-Site Hedge Baseline'!AB197</f>
        <v>0</v>
      </c>
      <c r="V194" s="1">
        <f>'F-1 Off-Site WaterC'' Baseline'!AG197</f>
        <v>0</v>
      </c>
    </row>
    <row r="195" spans="1:22" x14ac:dyDescent="0.25">
      <c r="A195" s="757">
        <f>'D-1 Off-Site Habitat Baseline'!AF199</f>
        <v>0</v>
      </c>
      <c r="M195" s="757">
        <f>'E-1 Off-Site Hedge Baseline'!AB198</f>
        <v>0</v>
      </c>
      <c r="V195" s="1">
        <f>'F-1 Off-Site WaterC'' Baseline'!AG198</f>
        <v>0</v>
      </c>
    </row>
    <row r="196" spans="1:22" x14ac:dyDescent="0.25">
      <c r="A196" s="757">
        <f>'D-1 Off-Site Habitat Baseline'!AF200</f>
        <v>0</v>
      </c>
      <c r="M196" s="757">
        <f>'E-1 Off-Site Hedge Baseline'!AB199</f>
        <v>0</v>
      </c>
      <c r="V196" s="1">
        <f>'F-1 Off-Site WaterC'' Baseline'!AG199</f>
        <v>0</v>
      </c>
    </row>
    <row r="197" spans="1:22" x14ac:dyDescent="0.25">
      <c r="A197" s="757">
        <f>'D-1 Off-Site Habitat Baseline'!AF201</f>
        <v>0</v>
      </c>
      <c r="M197" s="757">
        <f>'E-1 Off-Site Hedge Baseline'!AB200</f>
        <v>0</v>
      </c>
      <c r="V197" s="1">
        <f>'F-1 Off-Site WaterC'' Baseline'!AG200</f>
        <v>0</v>
      </c>
    </row>
    <row r="198" spans="1:22" x14ac:dyDescent="0.25">
      <c r="A198" s="757">
        <f>'D-1 Off-Site Habitat Baseline'!AF202</f>
        <v>0</v>
      </c>
      <c r="M198" s="757">
        <f>'E-1 Off-Site Hedge Baseline'!AB201</f>
        <v>0</v>
      </c>
      <c r="V198" s="1">
        <f>'F-1 Off-Site WaterC'' Baseline'!AG201</f>
        <v>0</v>
      </c>
    </row>
    <row r="199" spans="1:22" x14ac:dyDescent="0.25">
      <c r="A199" s="757">
        <f>'D-1 Off-Site Habitat Baseline'!AF203</f>
        <v>0</v>
      </c>
      <c r="M199" s="757">
        <f>'E-1 Off-Site Hedge Baseline'!AB202</f>
        <v>0</v>
      </c>
      <c r="V199" s="1">
        <f>'F-1 Off-Site WaterC'' Baseline'!AG202</f>
        <v>0</v>
      </c>
    </row>
    <row r="200" spans="1:22" x14ac:dyDescent="0.25">
      <c r="A200" s="757">
        <f>'D-1 Off-Site Habitat Baseline'!AF204</f>
        <v>0</v>
      </c>
      <c r="M200" s="757">
        <f>'E-1 Off-Site Hedge Baseline'!AB203</f>
        <v>0</v>
      </c>
      <c r="V200" s="1">
        <f>'F-1 Off-Site WaterC'' Baseline'!AG203</f>
        <v>0</v>
      </c>
    </row>
    <row r="201" spans="1:22" x14ac:dyDescent="0.25">
      <c r="A201" s="757">
        <f>'D-1 Off-Site Habitat Baseline'!AF205</f>
        <v>0</v>
      </c>
      <c r="M201" s="757">
        <f>'E-1 Off-Site Hedge Baseline'!AB204</f>
        <v>0</v>
      </c>
      <c r="V201" s="1">
        <f>'F-1 Off-Site WaterC'' Baseline'!AG204</f>
        <v>0</v>
      </c>
    </row>
    <row r="202" spans="1:22" x14ac:dyDescent="0.25">
      <c r="A202" s="757">
        <f>'D-1 Off-Site Habitat Baseline'!AF206</f>
        <v>0</v>
      </c>
      <c r="M202" s="757">
        <f>'E-1 Off-Site Hedge Baseline'!AB205</f>
        <v>0</v>
      </c>
      <c r="V202" s="1">
        <f>'F-1 Off-Site WaterC'' Baseline'!AG205</f>
        <v>0</v>
      </c>
    </row>
    <row r="203" spans="1:22" x14ac:dyDescent="0.25">
      <c r="A203" s="757">
        <f>'D-1 Off-Site Habitat Baseline'!AF207</f>
        <v>0</v>
      </c>
      <c r="M203" s="757">
        <f>'E-1 Off-Site Hedge Baseline'!AB206</f>
        <v>0</v>
      </c>
      <c r="V203" s="1">
        <f>'F-1 Off-Site WaterC'' Baseline'!AG206</f>
        <v>0</v>
      </c>
    </row>
    <row r="204" spans="1:22" x14ac:dyDescent="0.25">
      <c r="A204" s="757">
        <f>'D-1 Off-Site Habitat Baseline'!AF208</f>
        <v>0</v>
      </c>
      <c r="M204" s="757">
        <f>'E-1 Off-Site Hedge Baseline'!AB207</f>
        <v>0</v>
      </c>
      <c r="V204" s="1">
        <f>'F-1 Off-Site WaterC'' Baseline'!AG207</f>
        <v>0</v>
      </c>
    </row>
    <row r="205" spans="1:22" x14ac:dyDescent="0.25">
      <c r="A205" s="757">
        <f>'D-1 Off-Site Habitat Baseline'!AF209</f>
        <v>0</v>
      </c>
      <c r="M205" s="757">
        <f>'E-1 Off-Site Hedge Baseline'!AB208</f>
        <v>0</v>
      </c>
      <c r="V205" s="1">
        <f>'F-1 Off-Site WaterC'' Baseline'!AG208</f>
        <v>0</v>
      </c>
    </row>
    <row r="206" spans="1:22" x14ac:dyDescent="0.25">
      <c r="A206" s="757">
        <f>'D-1 Off-Site Habitat Baseline'!AF210</f>
        <v>0</v>
      </c>
      <c r="M206" s="757">
        <f>'E-1 Off-Site Hedge Baseline'!AB209</f>
        <v>0</v>
      </c>
      <c r="V206" s="1">
        <f>'F-1 Off-Site WaterC'' Baseline'!AG209</f>
        <v>0</v>
      </c>
    </row>
    <row r="207" spans="1:22" x14ac:dyDescent="0.25">
      <c r="A207" s="757">
        <f>'D-1 Off-Site Habitat Baseline'!AF211</f>
        <v>0</v>
      </c>
      <c r="M207" s="757">
        <f>'E-1 Off-Site Hedge Baseline'!AB210</f>
        <v>0</v>
      </c>
      <c r="V207" s="1">
        <f>'F-1 Off-Site WaterC'' Baseline'!AG210</f>
        <v>0</v>
      </c>
    </row>
    <row r="208" spans="1:22" x14ac:dyDescent="0.25">
      <c r="A208" s="757">
        <f>'D-1 Off-Site Habitat Baseline'!AF212</f>
        <v>0</v>
      </c>
      <c r="M208" s="757">
        <f>'E-1 Off-Site Hedge Baseline'!AB211</f>
        <v>0</v>
      </c>
      <c r="V208" s="1">
        <f>'F-1 Off-Site WaterC'' Baseline'!AG211</f>
        <v>0</v>
      </c>
    </row>
    <row r="209" spans="1:22" x14ac:dyDescent="0.25">
      <c r="A209" s="757">
        <f>'D-1 Off-Site Habitat Baseline'!AF213</f>
        <v>0</v>
      </c>
      <c r="M209" s="757">
        <f>'E-1 Off-Site Hedge Baseline'!AB212</f>
        <v>0</v>
      </c>
      <c r="V209" s="1">
        <f>'F-1 Off-Site WaterC'' Baseline'!AG212</f>
        <v>0</v>
      </c>
    </row>
    <row r="210" spans="1:22" x14ac:dyDescent="0.25">
      <c r="A210" s="757">
        <f>'D-1 Off-Site Habitat Baseline'!AF214</f>
        <v>0</v>
      </c>
      <c r="M210" s="757">
        <f>'E-1 Off-Site Hedge Baseline'!AB213</f>
        <v>0</v>
      </c>
      <c r="V210" s="1">
        <f>'F-1 Off-Site WaterC'' Baseline'!AG213</f>
        <v>0</v>
      </c>
    </row>
    <row r="211" spans="1:22" x14ac:dyDescent="0.25">
      <c r="A211" s="757">
        <f>'D-1 Off-Site Habitat Baseline'!AF215</f>
        <v>0</v>
      </c>
      <c r="M211" s="757">
        <f>'E-1 Off-Site Hedge Baseline'!AB214</f>
        <v>0</v>
      </c>
      <c r="V211" s="1">
        <f>'F-1 Off-Site WaterC'' Baseline'!AG214</f>
        <v>0</v>
      </c>
    </row>
    <row r="212" spans="1:22" x14ac:dyDescent="0.25">
      <c r="A212" s="757">
        <f>'D-1 Off-Site Habitat Baseline'!AF216</f>
        <v>0</v>
      </c>
      <c r="M212" s="757">
        <f>'E-1 Off-Site Hedge Baseline'!AB215</f>
        <v>0</v>
      </c>
      <c r="V212" s="1">
        <f>'F-1 Off-Site WaterC'' Baseline'!AG215</f>
        <v>0</v>
      </c>
    </row>
    <row r="213" spans="1:22" x14ac:dyDescent="0.25">
      <c r="A213" s="757">
        <f>'D-1 Off-Site Habitat Baseline'!AF217</f>
        <v>0</v>
      </c>
      <c r="M213" s="757">
        <f>'E-1 Off-Site Hedge Baseline'!AB216</f>
        <v>0</v>
      </c>
      <c r="V213" s="1">
        <f>'F-1 Off-Site WaterC'' Baseline'!AG216</f>
        <v>0</v>
      </c>
    </row>
    <row r="214" spans="1:22" x14ac:dyDescent="0.25">
      <c r="A214" s="757">
        <f>'D-1 Off-Site Habitat Baseline'!AF218</f>
        <v>0</v>
      </c>
      <c r="M214" s="757">
        <f>'E-1 Off-Site Hedge Baseline'!AB217</f>
        <v>0</v>
      </c>
      <c r="V214" s="1">
        <f>'F-1 Off-Site WaterC'' Baseline'!AG217</f>
        <v>0</v>
      </c>
    </row>
    <row r="215" spans="1:22" x14ac:dyDescent="0.25">
      <c r="A215" s="757">
        <f>'D-1 Off-Site Habitat Baseline'!AF219</f>
        <v>0</v>
      </c>
      <c r="M215" s="757">
        <f>'E-1 Off-Site Hedge Baseline'!AB218</f>
        <v>0</v>
      </c>
      <c r="V215" s="1">
        <f>'F-1 Off-Site WaterC'' Baseline'!AG218</f>
        <v>0</v>
      </c>
    </row>
    <row r="216" spans="1:22" x14ac:dyDescent="0.25">
      <c r="A216" s="757">
        <f>'D-1 Off-Site Habitat Baseline'!AF220</f>
        <v>0</v>
      </c>
      <c r="M216" s="757">
        <f>'E-1 Off-Site Hedge Baseline'!AB219</f>
        <v>0</v>
      </c>
      <c r="V216" s="1">
        <f>'F-1 Off-Site WaterC'' Baseline'!AG219</f>
        <v>0</v>
      </c>
    </row>
    <row r="217" spans="1:22" x14ac:dyDescent="0.25">
      <c r="A217" s="757">
        <f>'D-1 Off-Site Habitat Baseline'!AF221</f>
        <v>0</v>
      </c>
      <c r="M217" s="757">
        <f>'E-1 Off-Site Hedge Baseline'!AB220</f>
        <v>0</v>
      </c>
      <c r="V217" s="1">
        <f>'F-1 Off-Site WaterC'' Baseline'!AG220</f>
        <v>0</v>
      </c>
    </row>
    <row r="218" spans="1:22" x14ac:dyDescent="0.25">
      <c r="A218" s="757">
        <f>'D-1 Off-Site Habitat Baseline'!AF222</f>
        <v>0</v>
      </c>
      <c r="M218" s="757">
        <f>'E-1 Off-Site Hedge Baseline'!AB221</f>
        <v>0</v>
      </c>
      <c r="V218" s="1">
        <f>'F-1 Off-Site WaterC'' Baseline'!AG221</f>
        <v>0</v>
      </c>
    </row>
    <row r="219" spans="1:22" x14ac:dyDescent="0.25">
      <c r="A219" s="757">
        <f>'D-1 Off-Site Habitat Baseline'!AF223</f>
        <v>0</v>
      </c>
      <c r="M219" s="757">
        <f>'E-1 Off-Site Hedge Baseline'!AB222</f>
        <v>0</v>
      </c>
      <c r="V219" s="1">
        <f>'F-1 Off-Site WaterC'' Baseline'!AG222</f>
        <v>0</v>
      </c>
    </row>
    <row r="220" spans="1:22" x14ac:dyDescent="0.25">
      <c r="A220" s="757">
        <f>'D-1 Off-Site Habitat Baseline'!AF224</f>
        <v>0</v>
      </c>
      <c r="M220" s="757">
        <f>'E-1 Off-Site Hedge Baseline'!AB223</f>
        <v>0</v>
      </c>
      <c r="V220" s="1">
        <f>'F-1 Off-Site WaterC'' Baseline'!AG223</f>
        <v>0</v>
      </c>
    </row>
    <row r="221" spans="1:22" x14ac:dyDescent="0.25">
      <c r="A221" s="757">
        <f>'D-1 Off-Site Habitat Baseline'!AF225</f>
        <v>0</v>
      </c>
      <c r="M221" s="757">
        <f>'E-1 Off-Site Hedge Baseline'!AB224</f>
        <v>0</v>
      </c>
      <c r="V221" s="1">
        <f>'F-1 Off-Site WaterC'' Baseline'!AG224</f>
        <v>0</v>
      </c>
    </row>
    <row r="222" spans="1:22" x14ac:dyDescent="0.25">
      <c r="A222" s="757">
        <f>'D-1 Off-Site Habitat Baseline'!AF226</f>
        <v>0</v>
      </c>
      <c r="M222" s="757">
        <f>'E-1 Off-Site Hedge Baseline'!AB225</f>
        <v>0</v>
      </c>
      <c r="V222" s="1">
        <f>'F-1 Off-Site WaterC'' Baseline'!AG225</f>
        <v>0</v>
      </c>
    </row>
    <row r="223" spans="1:22" x14ac:dyDescent="0.25">
      <c r="A223" s="757">
        <f>'D-1 Off-Site Habitat Baseline'!AF227</f>
        <v>0</v>
      </c>
      <c r="M223" s="757">
        <f>'E-1 Off-Site Hedge Baseline'!AB226</f>
        <v>0</v>
      </c>
      <c r="V223" s="1">
        <f>'F-1 Off-Site WaterC'' Baseline'!AG226</f>
        <v>0</v>
      </c>
    </row>
    <row r="224" spans="1:22" x14ac:dyDescent="0.25">
      <c r="A224" s="757">
        <f>'D-1 Off-Site Habitat Baseline'!AF228</f>
        <v>0</v>
      </c>
      <c r="M224" s="757">
        <f>'E-1 Off-Site Hedge Baseline'!AB227</f>
        <v>0</v>
      </c>
      <c r="V224" s="1">
        <f>'F-1 Off-Site WaterC'' Baseline'!AG227</f>
        <v>0</v>
      </c>
    </row>
    <row r="225" spans="1:22" x14ac:dyDescent="0.25">
      <c r="A225" s="757">
        <f>'D-1 Off-Site Habitat Baseline'!AF229</f>
        <v>0</v>
      </c>
      <c r="M225" s="757">
        <f>'E-1 Off-Site Hedge Baseline'!AB228</f>
        <v>0</v>
      </c>
      <c r="V225" s="1">
        <f>'F-1 Off-Site WaterC'' Baseline'!AG228</f>
        <v>0</v>
      </c>
    </row>
    <row r="226" spans="1:22" x14ac:dyDescent="0.25">
      <c r="A226" s="757">
        <f>'D-1 Off-Site Habitat Baseline'!AF230</f>
        <v>0</v>
      </c>
      <c r="M226" s="757">
        <f>'E-1 Off-Site Hedge Baseline'!AB229</f>
        <v>0</v>
      </c>
      <c r="V226" s="1">
        <f>'F-1 Off-Site WaterC'' Baseline'!AG229</f>
        <v>0</v>
      </c>
    </row>
    <row r="227" spans="1:22" x14ac:dyDescent="0.25">
      <c r="A227" s="757">
        <f>'D-1 Off-Site Habitat Baseline'!AF231</f>
        <v>0</v>
      </c>
      <c r="M227" s="757">
        <f>'E-1 Off-Site Hedge Baseline'!AB230</f>
        <v>0</v>
      </c>
      <c r="V227" s="1">
        <f>'F-1 Off-Site WaterC'' Baseline'!AG230</f>
        <v>0</v>
      </c>
    </row>
    <row r="228" spans="1:22" x14ac:dyDescent="0.25">
      <c r="A228" s="757">
        <f>'D-1 Off-Site Habitat Baseline'!AF232</f>
        <v>0</v>
      </c>
      <c r="M228" s="757">
        <f>'E-1 Off-Site Hedge Baseline'!AB231</f>
        <v>0</v>
      </c>
      <c r="V228" s="1">
        <f>'F-1 Off-Site WaterC'' Baseline'!AG231</f>
        <v>0</v>
      </c>
    </row>
    <row r="229" spans="1:22" x14ac:dyDescent="0.25">
      <c r="A229" s="757">
        <f>'D-1 Off-Site Habitat Baseline'!AF233</f>
        <v>0</v>
      </c>
      <c r="M229" s="757">
        <f>'E-1 Off-Site Hedge Baseline'!AB232</f>
        <v>0</v>
      </c>
      <c r="V229" s="1">
        <f>'F-1 Off-Site WaterC'' Baseline'!AG232</f>
        <v>0</v>
      </c>
    </row>
    <row r="230" spans="1:22" x14ac:dyDescent="0.25">
      <c r="A230" s="757">
        <f>'D-1 Off-Site Habitat Baseline'!AF234</f>
        <v>0</v>
      </c>
      <c r="M230" s="757">
        <f>'E-1 Off-Site Hedge Baseline'!AB233</f>
        <v>0</v>
      </c>
      <c r="V230" s="1">
        <f>'F-1 Off-Site WaterC'' Baseline'!AG233</f>
        <v>0</v>
      </c>
    </row>
    <row r="231" spans="1:22" x14ac:dyDescent="0.25">
      <c r="A231" s="757">
        <f>'D-1 Off-Site Habitat Baseline'!AF235</f>
        <v>0</v>
      </c>
      <c r="M231" s="757">
        <f>'E-1 Off-Site Hedge Baseline'!AB234</f>
        <v>0</v>
      </c>
      <c r="V231" s="1">
        <f>'F-1 Off-Site WaterC'' Baseline'!AG234</f>
        <v>0</v>
      </c>
    </row>
    <row r="232" spans="1:22" x14ac:dyDescent="0.25">
      <c r="A232" s="757">
        <f>'D-1 Off-Site Habitat Baseline'!AF236</f>
        <v>0</v>
      </c>
      <c r="M232" s="757">
        <f>'E-1 Off-Site Hedge Baseline'!AB235</f>
        <v>0</v>
      </c>
      <c r="V232" s="1">
        <f>'F-1 Off-Site WaterC'' Baseline'!AG235</f>
        <v>0</v>
      </c>
    </row>
    <row r="233" spans="1:22" x14ac:dyDescent="0.25">
      <c r="A233" s="757">
        <f>'D-1 Off-Site Habitat Baseline'!AF237</f>
        <v>0</v>
      </c>
      <c r="M233" s="757">
        <f>'E-1 Off-Site Hedge Baseline'!AB236</f>
        <v>0</v>
      </c>
      <c r="V233" s="1">
        <f>'F-1 Off-Site WaterC'' Baseline'!AG236</f>
        <v>0</v>
      </c>
    </row>
    <row r="234" spans="1:22" x14ac:dyDescent="0.25">
      <c r="A234" s="757">
        <f>'D-1 Off-Site Habitat Baseline'!AF238</f>
        <v>0</v>
      </c>
      <c r="M234" s="757">
        <f>'E-1 Off-Site Hedge Baseline'!AB237</f>
        <v>0</v>
      </c>
      <c r="V234" s="1">
        <f>'F-1 Off-Site WaterC'' Baseline'!AG237</f>
        <v>0</v>
      </c>
    </row>
    <row r="235" spans="1:22" x14ac:dyDescent="0.25">
      <c r="A235" s="757">
        <f>'D-1 Off-Site Habitat Baseline'!AF239</f>
        <v>0</v>
      </c>
      <c r="M235" s="757">
        <f>'E-1 Off-Site Hedge Baseline'!AB238</f>
        <v>0</v>
      </c>
      <c r="V235" s="1">
        <f>'F-1 Off-Site WaterC'' Baseline'!AG238</f>
        <v>0</v>
      </c>
    </row>
    <row r="236" spans="1:22" x14ac:dyDescent="0.25">
      <c r="A236" s="757">
        <f>'D-1 Off-Site Habitat Baseline'!AF240</f>
        <v>0</v>
      </c>
      <c r="M236" s="757">
        <f>'E-1 Off-Site Hedge Baseline'!AB239</f>
        <v>0</v>
      </c>
      <c r="V236" s="1">
        <f>'F-1 Off-Site WaterC'' Baseline'!AG239</f>
        <v>0</v>
      </c>
    </row>
    <row r="237" spans="1:22" x14ac:dyDescent="0.25">
      <c r="A237" s="757">
        <f>'D-1 Off-Site Habitat Baseline'!AF241</f>
        <v>0</v>
      </c>
      <c r="M237" s="757">
        <f>'E-1 Off-Site Hedge Baseline'!AB240</f>
        <v>0</v>
      </c>
      <c r="V237" s="1">
        <f>'F-1 Off-Site WaterC'' Baseline'!AG240</f>
        <v>0</v>
      </c>
    </row>
    <row r="238" spans="1:22" x14ac:dyDescent="0.25">
      <c r="A238" s="757">
        <f>'D-1 Off-Site Habitat Baseline'!AF242</f>
        <v>0</v>
      </c>
      <c r="M238" s="757">
        <f>'E-1 Off-Site Hedge Baseline'!AB241</f>
        <v>0</v>
      </c>
      <c r="V238" s="1">
        <f>'F-1 Off-Site WaterC'' Baseline'!AG241</f>
        <v>0</v>
      </c>
    </row>
    <row r="239" spans="1:22" x14ac:dyDescent="0.25">
      <c r="A239" s="757">
        <f>'D-1 Off-Site Habitat Baseline'!AF243</f>
        <v>0</v>
      </c>
      <c r="M239" s="757">
        <f>'E-1 Off-Site Hedge Baseline'!AB242</f>
        <v>0</v>
      </c>
      <c r="V239" s="1">
        <f>'F-1 Off-Site WaterC'' Baseline'!AG242</f>
        <v>0</v>
      </c>
    </row>
    <row r="240" spans="1:22" x14ac:dyDescent="0.25">
      <c r="A240" s="757">
        <f>'D-1 Off-Site Habitat Baseline'!AF244</f>
        <v>0</v>
      </c>
      <c r="M240" s="757">
        <f>'E-1 Off-Site Hedge Baseline'!AB243</f>
        <v>0</v>
      </c>
      <c r="V240" s="1">
        <f>'F-1 Off-Site WaterC'' Baseline'!AG243</f>
        <v>0</v>
      </c>
    </row>
    <row r="241" spans="1:22" x14ac:dyDescent="0.25">
      <c r="A241" s="757">
        <f>'D-1 Off-Site Habitat Baseline'!AF245</f>
        <v>0</v>
      </c>
      <c r="M241" s="757">
        <f>'E-1 Off-Site Hedge Baseline'!AB244</f>
        <v>0</v>
      </c>
      <c r="V241" s="1">
        <f>'F-1 Off-Site WaterC'' Baseline'!AG244</f>
        <v>0</v>
      </c>
    </row>
    <row r="242" spans="1:22" x14ac:dyDescent="0.25">
      <c r="A242" s="757">
        <f>'D-1 Off-Site Habitat Baseline'!AF246</f>
        <v>0</v>
      </c>
      <c r="M242" s="757">
        <f>'E-1 Off-Site Hedge Baseline'!AB245</f>
        <v>0</v>
      </c>
      <c r="V242" s="1">
        <f>'F-1 Off-Site WaterC'' Baseline'!AG245</f>
        <v>0</v>
      </c>
    </row>
    <row r="243" spans="1:22" x14ac:dyDescent="0.25">
      <c r="A243" s="757">
        <f>'D-1 Off-Site Habitat Baseline'!AF247</f>
        <v>0</v>
      </c>
      <c r="M243" s="757">
        <f>'E-1 Off-Site Hedge Baseline'!AB246</f>
        <v>0</v>
      </c>
      <c r="V243" s="1">
        <f>'F-1 Off-Site WaterC'' Baseline'!AG246</f>
        <v>0</v>
      </c>
    </row>
    <row r="244" spans="1:22" x14ac:dyDescent="0.25">
      <c r="A244" s="757">
        <f>'D-1 Off-Site Habitat Baseline'!AF248</f>
        <v>0</v>
      </c>
      <c r="M244" s="757">
        <f>'E-1 Off-Site Hedge Baseline'!AB247</f>
        <v>0</v>
      </c>
      <c r="V244" s="1">
        <f>'F-1 Off-Site WaterC'' Baseline'!AG247</f>
        <v>0</v>
      </c>
    </row>
    <row r="245" spans="1:22" x14ac:dyDescent="0.25">
      <c r="A245" s="757">
        <f>'D-1 Off-Site Habitat Baseline'!AF249</f>
        <v>0</v>
      </c>
      <c r="M245" s="757">
        <f>'E-1 Off-Site Hedge Baseline'!AB248</f>
        <v>0</v>
      </c>
      <c r="V245" s="1">
        <f>'F-1 Off-Site WaterC'' Baseline'!AG248</f>
        <v>0</v>
      </c>
    </row>
    <row r="246" spans="1:22" x14ac:dyDescent="0.25">
      <c r="A246" s="757">
        <f>'D-1 Off-Site Habitat Baseline'!AF250</f>
        <v>0</v>
      </c>
      <c r="M246" s="757">
        <f>'E-1 Off-Site Hedge Baseline'!AB249</f>
        <v>0</v>
      </c>
      <c r="V246" s="1">
        <f>'F-1 Off-Site WaterC'' Baseline'!AG249</f>
        <v>0</v>
      </c>
    </row>
    <row r="247" spans="1:22" x14ac:dyDescent="0.25">
      <c r="A247" s="757">
        <f>'D-1 Off-Site Habitat Baseline'!AF251</f>
        <v>0</v>
      </c>
      <c r="M247" s="757">
        <f>'E-1 Off-Site Hedge Baseline'!AB250</f>
        <v>0</v>
      </c>
      <c r="V247" s="1">
        <f>'F-1 Off-Site WaterC'' Baseline'!AG250</f>
        <v>0</v>
      </c>
    </row>
    <row r="248" spans="1:22" x14ac:dyDescent="0.25">
      <c r="A248" s="757">
        <f>'D-1 Off-Site Habitat Baseline'!AF252</f>
        <v>0</v>
      </c>
      <c r="M248" s="757">
        <f>'E-1 Off-Site Hedge Baseline'!AB251</f>
        <v>0</v>
      </c>
      <c r="V248" s="1">
        <f>'F-1 Off-Site WaterC'' Baseline'!AG251</f>
        <v>0</v>
      </c>
    </row>
    <row r="249" spans="1:22" x14ac:dyDescent="0.25">
      <c r="A249" s="757">
        <f>'D-1 Off-Site Habitat Baseline'!AF253</f>
        <v>0</v>
      </c>
      <c r="M249" s="757">
        <f>'E-1 Off-Site Hedge Baseline'!AB252</f>
        <v>0</v>
      </c>
      <c r="V249" s="1">
        <f>'F-1 Off-Site WaterC'' Baseline'!AG252</f>
        <v>0</v>
      </c>
    </row>
    <row r="250" spans="1:22" x14ac:dyDescent="0.25">
      <c r="A250" s="757">
        <f>'D-1 Off-Site Habitat Baseline'!AF254</f>
        <v>0</v>
      </c>
      <c r="M250" s="757">
        <f>'E-1 Off-Site Hedge Baseline'!AB253</f>
        <v>0</v>
      </c>
      <c r="V250" s="1">
        <f>'F-1 Off-Site WaterC'' Baseline'!AG253</f>
        <v>0</v>
      </c>
    </row>
    <row r="251" spans="1:22" x14ac:dyDescent="0.25">
      <c r="A251" s="757">
        <f>'D-1 Off-Site Habitat Baseline'!AF255</f>
        <v>0</v>
      </c>
      <c r="M251" s="757">
        <f>'E-1 Off-Site Hedge Baseline'!AB254</f>
        <v>0</v>
      </c>
      <c r="V251" s="1">
        <f>'F-1 Off-Site WaterC'' Baseline'!AG254</f>
        <v>0</v>
      </c>
    </row>
    <row r="252" spans="1:22" x14ac:dyDescent="0.25">
      <c r="A252" s="757">
        <f>'D-1 Off-Site Habitat Baseline'!AF256</f>
        <v>0</v>
      </c>
      <c r="M252" s="757">
        <f>'E-1 Off-Site Hedge Baseline'!AB255</f>
        <v>0</v>
      </c>
      <c r="V252" s="1">
        <f>'F-1 Off-Site WaterC'' Baseline'!AG255</f>
        <v>0</v>
      </c>
    </row>
    <row r="253" spans="1:22" x14ac:dyDescent="0.25">
      <c r="A253" s="757">
        <f>'D-1 Off-Site Habitat Baseline'!AF257</f>
        <v>0</v>
      </c>
      <c r="M253" s="757">
        <f>'E-1 Off-Site Hedge Baseline'!AB256</f>
        <v>0</v>
      </c>
      <c r="V253" s="1">
        <f>'F-1 Off-Site WaterC'' Baseline'!AG256</f>
        <v>0</v>
      </c>
    </row>
    <row r="254" spans="1:22" x14ac:dyDescent="0.25">
      <c r="A254" s="757">
        <f>'D-1 Off-Site Habitat Baseline'!AF258</f>
        <v>0</v>
      </c>
      <c r="M254" s="757">
        <f>'E-1 Off-Site Hedge Baseline'!AB257</f>
        <v>0</v>
      </c>
      <c r="V254" s="1">
        <f>'F-1 Off-Site WaterC'' Baseline'!AG257</f>
        <v>0</v>
      </c>
    </row>
    <row r="255" spans="1:22" x14ac:dyDescent="0.25">
      <c r="A255" s="757">
        <f>'D-2 Off-Site Habitat Creation'!AF11</f>
        <v>0</v>
      </c>
      <c r="M255" s="757">
        <f>'E-2 Off-Site Hedge Creation'!AD12</f>
        <v>0</v>
      </c>
      <c r="V255" s="1">
        <f>'F-2 Off-Site WaterC'' Creation'!AG12</f>
        <v>0</v>
      </c>
    </row>
    <row r="256" spans="1:22" x14ac:dyDescent="0.25">
      <c r="A256" s="757">
        <f>'D-2 Off-Site Habitat Creation'!AF12</f>
        <v>0</v>
      </c>
      <c r="M256" s="757">
        <f>'E-2 Off-Site Hedge Creation'!AD13</f>
        <v>0</v>
      </c>
      <c r="V256" s="1">
        <f>'F-2 Off-Site WaterC'' Creation'!AG13</f>
        <v>0</v>
      </c>
    </row>
    <row r="257" spans="1:22" x14ac:dyDescent="0.25">
      <c r="A257" s="757">
        <f>'D-2 Off-Site Habitat Creation'!AF13</f>
        <v>0</v>
      </c>
      <c r="M257" s="757">
        <f>'E-2 Off-Site Hedge Creation'!AD14</f>
        <v>0</v>
      </c>
      <c r="V257" s="1">
        <f>'F-2 Off-Site WaterC'' Creation'!AG14</f>
        <v>0</v>
      </c>
    </row>
    <row r="258" spans="1:22" x14ac:dyDescent="0.25">
      <c r="A258" s="757">
        <f>'D-2 Off-Site Habitat Creation'!AF14</f>
        <v>0</v>
      </c>
      <c r="M258" s="757">
        <f>'E-2 Off-Site Hedge Creation'!AD15</f>
        <v>0</v>
      </c>
      <c r="V258" s="1">
        <f>'F-2 Off-Site WaterC'' Creation'!AG15</f>
        <v>0</v>
      </c>
    </row>
    <row r="259" spans="1:22" x14ac:dyDescent="0.25">
      <c r="A259" s="757">
        <f>'D-2 Off-Site Habitat Creation'!AF15</f>
        <v>0</v>
      </c>
      <c r="M259" s="757">
        <f>'E-2 Off-Site Hedge Creation'!AD16</f>
        <v>0</v>
      </c>
      <c r="V259" s="1">
        <f>'F-2 Off-Site WaterC'' Creation'!AG16</f>
        <v>0</v>
      </c>
    </row>
    <row r="260" spans="1:22" x14ac:dyDescent="0.25">
      <c r="A260" s="757">
        <f>'D-2 Off-Site Habitat Creation'!AF16</f>
        <v>0</v>
      </c>
      <c r="M260" s="757">
        <f>'E-2 Off-Site Hedge Creation'!AD17</f>
        <v>0</v>
      </c>
      <c r="V260" s="1">
        <f>'F-2 Off-Site WaterC'' Creation'!AG17</f>
        <v>0</v>
      </c>
    </row>
    <row r="261" spans="1:22" x14ac:dyDescent="0.25">
      <c r="A261" s="757">
        <f>'D-2 Off-Site Habitat Creation'!AF17</f>
        <v>0</v>
      </c>
      <c r="M261" s="757">
        <f>'E-2 Off-Site Hedge Creation'!AD18</f>
        <v>0</v>
      </c>
      <c r="V261" s="1">
        <f>'F-2 Off-Site WaterC'' Creation'!AG18</f>
        <v>0</v>
      </c>
    </row>
    <row r="262" spans="1:22" x14ac:dyDescent="0.25">
      <c r="A262" s="757">
        <f>'D-2 Off-Site Habitat Creation'!AF18</f>
        <v>0</v>
      </c>
      <c r="M262" s="757">
        <f>'E-2 Off-Site Hedge Creation'!AD19</f>
        <v>0</v>
      </c>
      <c r="V262" s="1">
        <f>'F-2 Off-Site WaterC'' Creation'!AG19</f>
        <v>0</v>
      </c>
    </row>
    <row r="263" spans="1:22" x14ac:dyDescent="0.25">
      <c r="A263" s="757">
        <f>'D-2 Off-Site Habitat Creation'!AF19</f>
        <v>0</v>
      </c>
      <c r="M263" s="757">
        <f>'E-2 Off-Site Hedge Creation'!AD20</f>
        <v>0</v>
      </c>
      <c r="V263" s="1">
        <f>'F-2 Off-Site WaterC'' Creation'!AG20</f>
        <v>0</v>
      </c>
    </row>
    <row r="264" spans="1:22" x14ac:dyDescent="0.25">
      <c r="A264" s="757">
        <f>'D-2 Off-Site Habitat Creation'!AF20</f>
        <v>0</v>
      </c>
      <c r="M264" s="757">
        <f>'E-2 Off-Site Hedge Creation'!AD21</f>
        <v>0</v>
      </c>
      <c r="V264" s="1">
        <f>'F-2 Off-Site WaterC'' Creation'!AG21</f>
        <v>0</v>
      </c>
    </row>
    <row r="265" spans="1:22" x14ac:dyDescent="0.25">
      <c r="A265" s="757">
        <f>'D-2 Off-Site Habitat Creation'!AF21</f>
        <v>0</v>
      </c>
      <c r="M265" s="757">
        <f>'E-2 Off-Site Hedge Creation'!AD22</f>
        <v>0</v>
      </c>
      <c r="V265" s="1">
        <f>'F-2 Off-Site WaterC'' Creation'!AG22</f>
        <v>0</v>
      </c>
    </row>
    <row r="266" spans="1:22" x14ac:dyDescent="0.25">
      <c r="A266" s="757">
        <f>'D-2 Off-Site Habitat Creation'!AF22</f>
        <v>0</v>
      </c>
      <c r="M266" s="757">
        <f>'E-2 Off-Site Hedge Creation'!AD23</f>
        <v>0</v>
      </c>
      <c r="V266" s="1">
        <f>'F-2 Off-Site WaterC'' Creation'!AG23</f>
        <v>0</v>
      </c>
    </row>
    <row r="267" spans="1:22" x14ac:dyDescent="0.25">
      <c r="A267" s="757">
        <f>'D-2 Off-Site Habitat Creation'!AF23</f>
        <v>0</v>
      </c>
      <c r="M267" s="757">
        <f>'E-2 Off-Site Hedge Creation'!AD24</f>
        <v>0</v>
      </c>
      <c r="V267" s="1">
        <f>'F-2 Off-Site WaterC'' Creation'!AG24</f>
        <v>0</v>
      </c>
    </row>
    <row r="268" spans="1:22" x14ac:dyDescent="0.25">
      <c r="A268" s="757">
        <f>'D-2 Off-Site Habitat Creation'!AF24</f>
        <v>0</v>
      </c>
      <c r="M268" s="757">
        <f>'E-2 Off-Site Hedge Creation'!AD25</f>
        <v>0</v>
      </c>
      <c r="V268" s="1">
        <f>'F-2 Off-Site WaterC'' Creation'!AG25</f>
        <v>0</v>
      </c>
    </row>
    <row r="269" spans="1:22" x14ac:dyDescent="0.25">
      <c r="A269" s="757">
        <f>'D-2 Off-Site Habitat Creation'!AF25</f>
        <v>0</v>
      </c>
      <c r="M269" s="757">
        <f>'E-2 Off-Site Hedge Creation'!AD26</f>
        <v>0</v>
      </c>
      <c r="V269" s="1">
        <f>'F-2 Off-Site WaterC'' Creation'!AG26</f>
        <v>0</v>
      </c>
    </row>
    <row r="270" spans="1:22" x14ac:dyDescent="0.25">
      <c r="A270" s="757">
        <f>'D-2 Off-Site Habitat Creation'!AF26</f>
        <v>0</v>
      </c>
      <c r="M270" s="757">
        <f>'E-2 Off-Site Hedge Creation'!AD27</f>
        <v>0</v>
      </c>
      <c r="V270" s="1">
        <f>'F-2 Off-Site WaterC'' Creation'!AG27</f>
        <v>0</v>
      </c>
    </row>
    <row r="271" spans="1:22" x14ac:dyDescent="0.25">
      <c r="A271" s="757">
        <f>'D-2 Off-Site Habitat Creation'!AF27</f>
        <v>0</v>
      </c>
      <c r="M271" s="757">
        <f>'E-2 Off-Site Hedge Creation'!AD28</f>
        <v>0</v>
      </c>
      <c r="V271" s="1">
        <f>'F-2 Off-Site WaterC'' Creation'!AG28</f>
        <v>0</v>
      </c>
    </row>
    <row r="272" spans="1:22" x14ac:dyDescent="0.25">
      <c r="A272" s="757">
        <f>'D-2 Off-Site Habitat Creation'!AF28</f>
        <v>0</v>
      </c>
      <c r="M272" s="757">
        <f>'E-2 Off-Site Hedge Creation'!AD29</f>
        <v>0</v>
      </c>
      <c r="V272" s="1">
        <f>'F-2 Off-Site WaterC'' Creation'!AG29</f>
        <v>0</v>
      </c>
    </row>
    <row r="273" spans="1:22" x14ac:dyDescent="0.25">
      <c r="A273" s="757">
        <f>'D-2 Off-Site Habitat Creation'!AF29</f>
        <v>0</v>
      </c>
      <c r="M273" s="757">
        <f>'E-2 Off-Site Hedge Creation'!AD30</f>
        <v>0</v>
      </c>
      <c r="V273" s="1">
        <f>'F-2 Off-Site WaterC'' Creation'!AG30</f>
        <v>0</v>
      </c>
    </row>
    <row r="274" spans="1:22" x14ac:dyDescent="0.25">
      <c r="A274" s="757">
        <f>'D-2 Off-Site Habitat Creation'!AF30</f>
        <v>0</v>
      </c>
      <c r="M274" s="757">
        <f>'E-2 Off-Site Hedge Creation'!AD31</f>
        <v>0</v>
      </c>
      <c r="V274" s="1">
        <f>'F-2 Off-Site WaterC'' Creation'!AG31</f>
        <v>0</v>
      </c>
    </row>
    <row r="275" spans="1:22" x14ac:dyDescent="0.25">
      <c r="A275" s="757">
        <f>'D-2 Off-Site Habitat Creation'!AF31</f>
        <v>0</v>
      </c>
      <c r="M275" s="757">
        <f>'E-2 Off-Site Hedge Creation'!AD32</f>
        <v>0</v>
      </c>
      <c r="V275" s="1">
        <f>'F-2 Off-Site WaterC'' Creation'!AG32</f>
        <v>0</v>
      </c>
    </row>
    <row r="276" spans="1:22" x14ac:dyDescent="0.25">
      <c r="A276" s="757">
        <f>'D-2 Off-Site Habitat Creation'!AF32</f>
        <v>0</v>
      </c>
      <c r="M276" s="757">
        <f>'E-2 Off-Site Hedge Creation'!AD33</f>
        <v>0</v>
      </c>
      <c r="V276" s="1">
        <f>'F-2 Off-Site WaterC'' Creation'!AG33</f>
        <v>0</v>
      </c>
    </row>
    <row r="277" spans="1:22" x14ac:dyDescent="0.25">
      <c r="A277" s="757">
        <f>'D-2 Off-Site Habitat Creation'!AF33</f>
        <v>0</v>
      </c>
      <c r="M277" s="757">
        <f>'E-2 Off-Site Hedge Creation'!AD34</f>
        <v>0</v>
      </c>
      <c r="V277" s="1">
        <f>'F-2 Off-Site WaterC'' Creation'!AG34</f>
        <v>0</v>
      </c>
    </row>
    <row r="278" spans="1:22" x14ac:dyDescent="0.25">
      <c r="A278" s="757">
        <f>'D-2 Off-Site Habitat Creation'!AF34</f>
        <v>0</v>
      </c>
      <c r="M278" s="757">
        <f>'E-2 Off-Site Hedge Creation'!AD35</f>
        <v>0</v>
      </c>
      <c r="V278" s="1">
        <f>'F-2 Off-Site WaterC'' Creation'!AG35</f>
        <v>0</v>
      </c>
    </row>
    <row r="279" spans="1:22" x14ac:dyDescent="0.25">
      <c r="A279" s="757">
        <f>'D-2 Off-Site Habitat Creation'!AF35</f>
        <v>0</v>
      </c>
      <c r="M279" s="757">
        <f>'E-2 Off-Site Hedge Creation'!AD36</f>
        <v>0</v>
      </c>
      <c r="V279" s="1">
        <f>'F-2 Off-Site WaterC'' Creation'!AG36</f>
        <v>0</v>
      </c>
    </row>
    <row r="280" spans="1:22" x14ac:dyDescent="0.25">
      <c r="A280" s="757">
        <f>'D-2 Off-Site Habitat Creation'!AF36</f>
        <v>0</v>
      </c>
      <c r="M280" s="757">
        <f>'E-2 Off-Site Hedge Creation'!AD37</f>
        <v>0</v>
      </c>
      <c r="V280" s="1">
        <f>'F-2 Off-Site WaterC'' Creation'!AG37</f>
        <v>0</v>
      </c>
    </row>
    <row r="281" spans="1:22" x14ac:dyDescent="0.25">
      <c r="A281" s="757">
        <f>'D-2 Off-Site Habitat Creation'!AF37</f>
        <v>0</v>
      </c>
      <c r="M281" s="757">
        <f>'E-2 Off-Site Hedge Creation'!AD38</f>
        <v>0</v>
      </c>
      <c r="V281" s="1">
        <f>'F-2 Off-Site WaterC'' Creation'!AG38</f>
        <v>0</v>
      </c>
    </row>
    <row r="282" spans="1:22" x14ac:dyDescent="0.25">
      <c r="A282" s="757">
        <f>'D-2 Off-Site Habitat Creation'!AF38</f>
        <v>0</v>
      </c>
      <c r="M282" s="757">
        <f>'E-2 Off-Site Hedge Creation'!AD39</f>
        <v>0</v>
      </c>
      <c r="V282" s="1">
        <f>'F-2 Off-Site WaterC'' Creation'!AG39</f>
        <v>0</v>
      </c>
    </row>
    <row r="283" spans="1:22" x14ac:dyDescent="0.25">
      <c r="A283" s="757">
        <f>'D-2 Off-Site Habitat Creation'!AF39</f>
        <v>0</v>
      </c>
      <c r="M283" s="757">
        <f>'E-2 Off-Site Hedge Creation'!AD40</f>
        <v>0</v>
      </c>
      <c r="V283" s="1">
        <f>'F-2 Off-Site WaterC'' Creation'!AG40</f>
        <v>0</v>
      </c>
    </row>
    <row r="284" spans="1:22" x14ac:dyDescent="0.25">
      <c r="A284" s="757">
        <f>'D-2 Off-Site Habitat Creation'!AF40</f>
        <v>0</v>
      </c>
      <c r="M284" s="757">
        <f>'E-2 Off-Site Hedge Creation'!AD41</f>
        <v>0</v>
      </c>
      <c r="V284" s="1">
        <f>'F-2 Off-Site WaterC'' Creation'!AG41</f>
        <v>0</v>
      </c>
    </row>
    <row r="285" spans="1:22" x14ac:dyDescent="0.25">
      <c r="A285" s="757">
        <f>'D-2 Off-Site Habitat Creation'!AF41</f>
        <v>0</v>
      </c>
      <c r="M285" s="757">
        <f>'E-2 Off-Site Hedge Creation'!AD42</f>
        <v>0</v>
      </c>
      <c r="V285" s="1">
        <f>'F-2 Off-Site WaterC'' Creation'!AG42</f>
        <v>0</v>
      </c>
    </row>
    <row r="286" spans="1:22" x14ac:dyDescent="0.25">
      <c r="A286" s="757">
        <f>'D-2 Off-Site Habitat Creation'!AF42</f>
        <v>0</v>
      </c>
      <c r="M286" s="757">
        <f>'E-2 Off-Site Hedge Creation'!AD43</f>
        <v>0</v>
      </c>
      <c r="V286" s="1">
        <f>'F-2 Off-Site WaterC'' Creation'!AG43</f>
        <v>0</v>
      </c>
    </row>
    <row r="287" spans="1:22" x14ac:dyDescent="0.25">
      <c r="A287" s="757">
        <f>'D-2 Off-Site Habitat Creation'!AF43</f>
        <v>0</v>
      </c>
      <c r="M287" s="757">
        <f>'E-2 Off-Site Hedge Creation'!AD44</f>
        <v>0</v>
      </c>
      <c r="V287" s="1">
        <f>'F-2 Off-Site WaterC'' Creation'!AG44</f>
        <v>0</v>
      </c>
    </row>
    <row r="288" spans="1:22" x14ac:dyDescent="0.25">
      <c r="A288" s="757">
        <f>'D-2 Off-Site Habitat Creation'!AF44</f>
        <v>0</v>
      </c>
      <c r="M288" s="757">
        <f>'E-2 Off-Site Hedge Creation'!AD45</f>
        <v>0</v>
      </c>
      <c r="V288" s="1">
        <f>'F-2 Off-Site WaterC'' Creation'!AG45</f>
        <v>0</v>
      </c>
    </row>
    <row r="289" spans="1:22" x14ac:dyDescent="0.25">
      <c r="A289" s="757">
        <f>'D-2 Off-Site Habitat Creation'!AF45</f>
        <v>0</v>
      </c>
      <c r="M289" s="757">
        <f>'E-2 Off-Site Hedge Creation'!AD46</f>
        <v>0</v>
      </c>
      <c r="V289" s="1">
        <f>'F-2 Off-Site WaterC'' Creation'!AG46</f>
        <v>0</v>
      </c>
    </row>
    <row r="290" spans="1:22" x14ac:dyDescent="0.25">
      <c r="A290" s="757">
        <f>'D-2 Off-Site Habitat Creation'!AF46</f>
        <v>0</v>
      </c>
      <c r="M290" s="757">
        <f>'E-2 Off-Site Hedge Creation'!AD47</f>
        <v>0</v>
      </c>
      <c r="V290" s="1">
        <f>'F-2 Off-Site WaterC'' Creation'!AG47</f>
        <v>0</v>
      </c>
    </row>
    <row r="291" spans="1:22" x14ac:dyDescent="0.25">
      <c r="A291" s="757">
        <f>'D-2 Off-Site Habitat Creation'!AF47</f>
        <v>0</v>
      </c>
      <c r="M291" s="757">
        <f>'E-2 Off-Site Hedge Creation'!AD48</f>
        <v>0</v>
      </c>
      <c r="V291" s="1">
        <f>'F-2 Off-Site WaterC'' Creation'!AG48</f>
        <v>0</v>
      </c>
    </row>
    <row r="292" spans="1:22" x14ac:dyDescent="0.25">
      <c r="A292" s="757">
        <f>'D-2 Off-Site Habitat Creation'!AF48</f>
        <v>0</v>
      </c>
      <c r="M292" s="757">
        <f>'E-2 Off-Site Hedge Creation'!AD49</f>
        <v>0</v>
      </c>
      <c r="V292" s="1">
        <f>'F-2 Off-Site WaterC'' Creation'!AG49</f>
        <v>0</v>
      </c>
    </row>
    <row r="293" spans="1:22" x14ac:dyDescent="0.25">
      <c r="A293" s="757">
        <f>'D-2 Off-Site Habitat Creation'!AF49</f>
        <v>0</v>
      </c>
      <c r="M293" s="757">
        <f>'E-2 Off-Site Hedge Creation'!AD50</f>
        <v>0</v>
      </c>
      <c r="V293" s="1">
        <f>'F-2 Off-Site WaterC'' Creation'!AG50</f>
        <v>0</v>
      </c>
    </row>
    <row r="294" spans="1:22" x14ac:dyDescent="0.25">
      <c r="A294" s="757">
        <f>'D-2 Off-Site Habitat Creation'!AF50</f>
        <v>0</v>
      </c>
      <c r="M294" s="757">
        <f>'E-2 Off-Site Hedge Creation'!AD51</f>
        <v>0</v>
      </c>
      <c r="V294" s="1">
        <f>'F-2 Off-Site WaterC'' Creation'!AG51</f>
        <v>0</v>
      </c>
    </row>
    <row r="295" spans="1:22" x14ac:dyDescent="0.25">
      <c r="A295" s="757">
        <f>'D-2 Off-Site Habitat Creation'!AF51</f>
        <v>0</v>
      </c>
      <c r="M295" s="757">
        <f>'E-2 Off-Site Hedge Creation'!AD52</f>
        <v>0</v>
      </c>
      <c r="V295" s="1">
        <f>'F-2 Off-Site WaterC'' Creation'!AG52</f>
        <v>0</v>
      </c>
    </row>
    <row r="296" spans="1:22" x14ac:dyDescent="0.25">
      <c r="A296" s="757">
        <f>'D-2 Off-Site Habitat Creation'!AF52</f>
        <v>0</v>
      </c>
      <c r="M296" s="757">
        <f>'E-2 Off-Site Hedge Creation'!AD53</f>
        <v>0</v>
      </c>
      <c r="V296" s="1">
        <f>'F-2 Off-Site WaterC'' Creation'!AG53</f>
        <v>0</v>
      </c>
    </row>
    <row r="297" spans="1:22" x14ac:dyDescent="0.25">
      <c r="A297" s="757">
        <f>'D-2 Off-Site Habitat Creation'!AF53</f>
        <v>0</v>
      </c>
      <c r="M297" s="757">
        <f>'E-2 Off-Site Hedge Creation'!AD54</f>
        <v>0</v>
      </c>
      <c r="V297" s="1">
        <f>'F-2 Off-Site WaterC'' Creation'!AG54</f>
        <v>0</v>
      </c>
    </row>
    <row r="298" spans="1:22" x14ac:dyDescent="0.25">
      <c r="A298" s="757">
        <f>'D-2 Off-Site Habitat Creation'!AF54</f>
        <v>0</v>
      </c>
      <c r="M298" s="757">
        <f>'E-2 Off-Site Hedge Creation'!AD55</f>
        <v>0</v>
      </c>
      <c r="V298" s="1">
        <f>'F-2 Off-Site WaterC'' Creation'!AG55</f>
        <v>0</v>
      </c>
    </row>
    <row r="299" spans="1:22" x14ac:dyDescent="0.25">
      <c r="A299" s="757">
        <f>'D-2 Off-Site Habitat Creation'!AF55</f>
        <v>0</v>
      </c>
      <c r="M299" s="757">
        <f>'E-2 Off-Site Hedge Creation'!AD56</f>
        <v>0</v>
      </c>
      <c r="V299" s="1">
        <f>'F-2 Off-Site WaterC'' Creation'!AG56</f>
        <v>0</v>
      </c>
    </row>
    <row r="300" spans="1:22" x14ac:dyDescent="0.25">
      <c r="A300" s="757">
        <f>'D-2 Off-Site Habitat Creation'!AF56</f>
        <v>0</v>
      </c>
      <c r="M300" s="757">
        <f>'E-2 Off-Site Hedge Creation'!AD57</f>
        <v>0</v>
      </c>
      <c r="V300" s="1">
        <f>'F-2 Off-Site WaterC'' Creation'!AG57</f>
        <v>0</v>
      </c>
    </row>
    <row r="301" spans="1:22" x14ac:dyDescent="0.25">
      <c r="A301" s="757">
        <f>'D-2 Off-Site Habitat Creation'!AF57</f>
        <v>0</v>
      </c>
      <c r="M301" s="757">
        <f>'E-2 Off-Site Hedge Creation'!AD58</f>
        <v>0</v>
      </c>
      <c r="V301" s="1">
        <f>'F-2 Off-Site WaterC'' Creation'!AG58</f>
        <v>0</v>
      </c>
    </row>
    <row r="302" spans="1:22" x14ac:dyDescent="0.25">
      <c r="A302" s="757">
        <f>'D-2 Off-Site Habitat Creation'!AF58</f>
        <v>0</v>
      </c>
      <c r="M302" s="757">
        <f>'E-2 Off-Site Hedge Creation'!AD59</f>
        <v>0</v>
      </c>
      <c r="V302" s="1">
        <f>'F-2 Off-Site WaterC'' Creation'!AG59</f>
        <v>0</v>
      </c>
    </row>
    <row r="303" spans="1:22" x14ac:dyDescent="0.25">
      <c r="A303" s="757">
        <f>'D-2 Off-Site Habitat Creation'!AF59</f>
        <v>0</v>
      </c>
      <c r="M303" s="757">
        <f>'E-2 Off-Site Hedge Creation'!AD60</f>
        <v>0</v>
      </c>
      <c r="V303" s="1">
        <f>'F-2 Off-Site WaterC'' Creation'!AG60</f>
        <v>0</v>
      </c>
    </row>
    <row r="304" spans="1:22" x14ac:dyDescent="0.25">
      <c r="A304" s="757">
        <f>'D-2 Off-Site Habitat Creation'!AF60</f>
        <v>0</v>
      </c>
      <c r="M304" s="757">
        <f>'E-2 Off-Site Hedge Creation'!AD61</f>
        <v>0</v>
      </c>
      <c r="V304" s="1">
        <f>'F-2 Off-Site WaterC'' Creation'!AG61</f>
        <v>0</v>
      </c>
    </row>
    <row r="305" spans="1:22" x14ac:dyDescent="0.25">
      <c r="A305" s="757">
        <f>'D-2 Off-Site Habitat Creation'!AF61</f>
        <v>0</v>
      </c>
      <c r="M305" s="757">
        <f>'E-2 Off-Site Hedge Creation'!AD62</f>
        <v>0</v>
      </c>
      <c r="V305" s="1">
        <f>'F-2 Off-Site WaterC'' Creation'!AG62</f>
        <v>0</v>
      </c>
    </row>
    <row r="306" spans="1:22" x14ac:dyDescent="0.25">
      <c r="A306" s="757">
        <f>'D-2 Off-Site Habitat Creation'!AF62</f>
        <v>0</v>
      </c>
      <c r="M306" s="757">
        <f>'E-2 Off-Site Hedge Creation'!AD63</f>
        <v>0</v>
      </c>
      <c r="V306" s="1">
        <f>'F-2 Off-Site WaterC'' Creation'!AG63</f>
        <v>0</v>
      </c>
    </row>
    <row r="307" spans="1:22" x14ac:dyDescent="0.25">
      <c r="A307" s="757">
        <f>'D-2 Off-Site Habitat Creation'!AF63</f>
        <v>0</v>
      </c>
      <c r="M307" s="757">
        <f>'E-2 Off-Site Hedge Creation'!AD64</f>
        <v>0</v>
      </c>
      <c r="V307" s="1">
        <f>'F-2 Off-Site WaterC'' Creation'!AG64</f>
        <v>0</v>
      </c>
    </row>
    <row r="308" spans="1:22" x14ac:dyDescent="0.25">
      <c r="A308" s="757">
        <f>'D-2 Off-Site Habitat Creation'!AF64</f>
        <v>0</v>
      </c>
      <c r="M308" s="757">
        <f>'E-2 Off-Site Hedge Creation'!AD65</f>
        <v>0</v>
      </c>
      <c r="V308" s="1">
        <f>'F-2 Off-Site WaterC'' Creation'!AG65</f>
        <v>0</v>
      </c>
    </row>
    <row r="309" spans="1:22" x14ac:dyDescent="0.25">
      <c r="A309" s="757">
        <f>'D-2 Off-Site Habitat Creation'!AF65</f>
        <v>0</v>
      </c>
      <c r="M309" s="757">
        <f>'E-2 Off-Site Hedge Creation'!AD66</f>
        <v>0</v>
      </c>
      <c r="V309" s="1">
        <f>'F-2 Off-Site WaterC'' Creation'!AG66</f>
        <v>0</v>
      </c>
    </row>
    <row r="310" spans="1:22" x14ac:dyDescent="0.25">
      <c r="A310" s="757">
        <f>'D-2 Off-Site Habitat Creation'!AF66</f>
        <v>0</v>
      </c>
      <c r="M310" s="757">
        <f>'E-2 Off-Site Hedge Creation'!AD67</f>
        <v>0</v>
      </c>
      <c r="V310" s="1">
        <f>'F-2 Off-Site WaterC'' Creation'!AG67</f>
        <v>0</v>
      </c>
    </row>
    <row r="311" spans="1:22" x14ac:dyDescent="0.25">
      <c r="A311" s="757">
        <f>'D-2 Off-Site Habitat Creation'!AF67</f>
        <v>0</v>
      </c>
      <c r="M311" s="757">
        <f>'E-2 Off-Site Hedge Creation'!AD68</f>
        <v>0</v>
      </c>
      <c r="V311" s="1">
        <f>'F-2 Off-Site WaterC'' Creation'!AG68</f>
        <v>0</v>
      </c>
    </row>
    <row r="312" spans="1:22" x14ac:dyDescent="0.25">
      <c r="A312" s="757">
        <f>'D-2 Off-Site Habitat Creation'!AF68</f>
        <v>0</v>
      </c>
      <c r="M312" s="757">
        <f>'E-2 Off-Site Hedge Creation'!AD69</f>
        <v>0</v>
      </c>
      <c r="V312" s="1">
        <f>'F-2 Off-Site WaterC'' Creation'!AG69</f>
        <v>0</v>
      </c>
    </row>
    <row r="313" spans="1:22" x14ac:dyDescent="0.25">
      <c r="A313" s="757">
        <f>'D-2 Off-Site Habitat Creation'!AF69</f>
        <v>0</v>
      </c>
      <c r="M313" s="757">
        <f>'E-2 Off-Site Hedge Creation'!AD70</f>
        <v>0</v>
      </c>
      <c r="V313" s="1">
        <f>'F-2 Off-Site WaterC'' Creation'!AG70</f>
        <v>0</v>
      </c>
    </row>
    <row r="314" spans="1:22" x14ac:dyDescent="0.25">
      <c r="A314" s="757">
        <f>'D-2 Off-Site Habitat Creation'!AF70</f>
        <v>0</v>
      </c>
      <c r="M314" s="757">
        <f>'E-2 Off-Site Hedge Creation'!AD71</f>
        <v>0</v>
      </c>
      <c r="V314" s="1">
        <f>'F-2 Off-Site WaterC'' Creation'!AG71</f>
        <v>0</v>
      </c>
    </row>
    <row r="315" spans="1:22" x14ac:dyDescent="0.25">
      <c r="A315" s="757">
        <f>'D-2 Off-Site Habitat Creation'!AF71</f>
        <v>0</v>
      </c>
      <c r="M315" s="757">
        <f>'E-2 Off-Site Hedge Creation'!AD72</f>
        <v>0</v>
      </c>
      <c r="V315" s="1">
        <f>'F-2 Off-Site WaterC'' Creation'!AG72</f>
        <v>0</v>
      </c>
    </row>
    <row r="316" spans="1:22" x14ac:dyDescent="0.25">
      <c r="A316" s="757">
        <f>'D-2 Off-Site Habitat Creation'!AF72</f>
        <v>0</v>
      </c>
      <c r="M316" s="757">
        <f>'E-2 Off-Site Hedge Creation'!AD73</f>
        <v>0</v>
      </c>
      <c r="V316" s="1">
        <f>'F-2 Off-Site WaterC'' Creation'!AG73</f>
        <v>0</v>
      </c>
    </row>
    <row r="317" spans="1:22" x14ac:dyDescent="0.25">
      <c r="A317" s="757">
        <f>'D-2 Off-Site Habitat Creation'!AF73</f>
        <v>0</v>
      </c>
      <c r="M317" s="757">
        <f>'E-2 Off-Site Hedge Creation'!AD74</f>
        <v>0</v>
      </c>
      <c r="V317" s="1">
        <f>'F-2 Off-Site WaterC'' Creation'!AG74</f>
        <v>0</v>
      </c>
    </row>
    <row r="318" spans="1:22" x14ac:dyDescent="0.25">
      <c r="A318" s="757">
        <f>'D-2 Off-Site Habitat Creation'!AF74</f>
        <v>0</v>
      </c>
      <c r="M318" s="757">
        <f>'E-2 Off-Site Hedge Creation'!AD75</f>
        <v>0</v>
      </c>
      <c r="V318" s="1">
        <f>'F-2 Off-Site WaterC'' Creation'!AG75</f>
        <v>0</v>
      </c>
    </row>
    <row r="319" spans="1:22" x14ac:dyDescent="0.25">
      <c r="A319" s="757">
        <f>'D-2 Off-Site Habitat Creation'!AF75</f>
        <v>0</v>
      </c>
      <c r="M319" s="757">
        <f>'E-2 Off-Site Hedge Creation'!AD76</f>
        <v>0</v>
      </c>
      <c r="V319" s="1">
        <f>'F-2 Off-Site WaterC'' Creation'!AG76</f>
        <v>0</v>
      </c>
    </row>
    <row r="320" spans="1:22" x14ac:dyDescent="0.25">
      <c r="A320" s="757">
        <f>'D-2 Off-Site Habitat Creation'!AF76</f>
        <v>0</v>
      </c>
      <c r="M320" s="757">
        <f>'E-2 Off-Site Hedge Creation'!AD77</f>
        <v>0</v>
      </c>
      <c r="V320" s="1">
        <f>'F-2 Off-Site WaterC'' Creation'!AG77</f>
        <v>0</v>
      </c>
    </row>
    <row r="321" spans="1:22" x14ac:dyDescent="0.25">
      <c r="A321" s="757">
        <f>'D-2 Off-Site Habitat Creation'!AF77</f>
        <v>0</v>
      </c>
      <c r="M321" s="757">
        <f>'E-2 Off-Site Hedge Creation'!AD78</f>
        <v>0</v>
      </c>
      <c r="V321" s="1">
        <f>'F-2 Off-Site WaterC'' Creation'!AG78</f>
        <v>0</v>
      </c>
    </row>
    <row r="322" spans="1:22" x14ac:dyDescent="0.25">
      <c r="A322" s="757">
        <f>'D-2 Off-Site Habitat Creation'!AF78</f>
        <v>0</v>
      </c>
      <c r="M322" s="757">
        <f>'E-2 Off-Site Hedge Creation'!AD79</f>
        <v>0</v>
      </c>
      <c r="V322" s="1">
        <f>'F-2 Off-Site WaterC'' Creation'!AG79</f>
        <v>0</v>
      </c>
    </row>
    <row r="323" spans="1:22" x14ac:dyDescent="0.25">
      <c r="A323" s="757">
        <f>'D-2 Off-Site Habitat Creation'!AF79</f>
        <v>0</v>
      </c>
      <c r="M323" s="757">
        <f>'E-2 Off-Site Hedge Creation'!AD80</f>
        <v>0</v>
      </c>
      <c r="V323" s="1">
        <f>'F-2 Off-Site WaterC'' Creation'!AG80</f>
        <v>0</v>
      </c>
    </row>
    <row r="324" spans="1:22" x14ac:dyDescent="0.25">
      <c r="A324" s="757">
        <f>'D-2 Off-Site Habitat Creation'!AF80</f>
        <v>0</v>
      </c>
      <c r="M324" s="757">
        <f>'E-2 Off-Site Hedge Creation'!AD81</f>
        <v>0</v>
      </c>
      <c r="V324" s="1">
        <f>'F-2 Off-Site WaterC'' Creation'!AG81</f>
        <v>0</v>
      </c>
    </row>
    <row r="325" spans="1:22" x14ac:dyDescent="0.25">
      <c r="A325" s="757">
        <f>'D-2 Off-Site Habitat Creation'!AF81</f>
        <v>0</v>
      </c>
      <c r="M325" s="757">
        <f>'E-2 Off-Site Hedge Creation'!AD82</f>
        <v>0</v>
      </c>
      <c r="V325" s="1">
        <f>'F-2 Off-Site WaterC'' Creation'!AG82</f>
        <v>0</v>
      </c>
    </row>
    <row r="326" spans="1:22" x14ac:dyDescent="0.25">
      <c r="A326" s="757">
        <f>'D-2 Off-Site Habitat Creation'!AF82</f>
        <v>0</v>
      </c>
      <c r="M326" s="757">
        <f>'E-2 Off-Site Hedge Creation'!AD83</f>
        <v>0</v>
      </c>
      <c r="V326" s="1">
        <f>'F-2 Off-Site WaterC'' Creation'!AG83</f>
        <v>0</v>
      </c>
    </row>
    <row r="327" spans="1:22" x14ac:dyDescent="0.25">
      <c r="A327" s="757">
        <f>'D-2 Off-Site Habitat Creation'!AF83</f>
        <v>0</v>
      </c>
      <c r="M327" s="757">
        <f>'E-2 Off-Site Hedge Creation'!AD84</f>
        <v>0</v>
      </c>
      <c r="V327" s="1">
        <f>'F-2 Off-Site WaterC'' Creation'!AG84</f>
        <v>0</v>
      </c>
    </row>
    <row r="328" spans="1:22" x14ac:dyDescent="0.25">
      <c r="A328" s="757">
        <f>'D-2 Off-Site Habitat Creation'!AF84</f>
        <v>0</v>
      </c>
      <c r="M328" s="757">
        <f>'E-2 Off-Site Hedge Creation'!AD85</f>
        <v>0</v>
      </c>
      <c r="V328" s="1">
        <f>'F-2 Off-Site WaterC'' Creation'!AG85</f>
        <v>0</v>
      </c>
    </row>
    <row r="329" spans="1:22" x14ac:dyDescent="0.25">
      <c r="A329" s="757">
        <f>'D-2 Off-Site Habitat Creation'!AF85</f>
        <v>0</v>
      </c>
      <c r="M329" s="757">
        <f>'E-2 Off-Site Hedge Creation'!AD86</f>
        <v>0</v>
      </c>
      <c r="V329" s="1">
        <f>'F-2 Off-Site WaterC'' Creation'!AG86</f>
        <v>0</v>
      </c>
    </row>
    <row r="330" spans="1:22" x14ac:dyDescent="0.25">
      <c r="A330" s="757">
        <f>'D-2 Off-Site Habitat Creation'!AF86</f>
        <v>0</v>
      </c>
      <c r="M330" s="757">
        <f>'E-2 Off-Site Hedge Creation'!AD87</f>
        <v>0</v>
      </c>
      <c r="V330" s="1">
        <f>'F-2 Off-Site WaterC'' Creation'!AG87</f>
        <v>0</v>
      </c>
    </row>
    <row r="331" spans="1:22" x14ac:dyDescent="0.25">
      <c r="A331" s="757">
        <f>'D-2 Off-Site Habitat Creation'!AF87</f>
        <v>0</v>
      </c>
      <c r="M331" s="757">
        <f>'E-2 Off-Site Hedge Creation'!AD88</f>
        <v>0</v>
      </c>
      <c r="V331" s="1">
        <f>'F-2 Off-Site WaterC'' Creation'!AG88</f>
        <v>0</v>
      </c>
    </row>
    <row r="332" spans="1:22" x14ac:dyDescent="0.25">
      <c r="A332" s="757">
        <f>'D-2 Off-Site Habitat Creation'!AF88</f>
        <v>0</v>
      </c>
      <c r="M332" s="757">
        <f>'E-2 Off-Site Hedge Creation'!AD89</f>
        <v>0</v>
      </c>
      <c r="V332" s="1">
        <f>'F-2 Off-Site WaterC'' Creation'!AG89</f>
        <v>0</v>
      </c>
    </row>
    <row r="333" spans="1:22" x14ac:dyDescent="0.25">
      <c r="A333" s="757">
        <f>'D-2 Off-Site Habitat Creation'!AF89</f>
        <v>0</v>
      </c>
      <c r="M333" s="757">
        <f>'E-2 Off-Site Hedge Creation'!AD90</f>
        <v>0</v>
      </c>
      <c r="V333" s="1">
        <f>'F-2 Off-Site WaterC'' Creation'!AG90</f>
        <v>0</v>
      </c>
    </row>
    <row r="334" spans="1:22" x14ac:dyDescent="0.25">
      <c r="A334" s="757">
        <f>'D-2 Off-Site Habitat Creation'!AF90</f>
        <v>0</v>
      </c>
      <c r="M334" s="757">
        <f>'E-2 Off-Site Hedge Creation'!AD91</f>
        <v>0</v>
      </c>
      <c r="V334" s="1">
        <f>'F-2 Off-Site WaterC'' Creation'!AG91</f>
        <v>0</v>
      </c>
    </row>
    <row r="335" spans="1:22" x14ac:dyDescent="0.25">
      <c r="A335" s="757">
        <f>'D-2 Off-Site Habitat Creation'!AF91</f>
        <v>0</v>
      </c>
      <c r="M335" s="757">
        <f>'E-2 Off-Site Hedge Creation'!AD92</f>
        <v>0</v>
      </c>
      <c r="V335" s="1">
        <f>'F-2 Off-Site WaterC'' Creation'!AG92</f>
        <v>0</v>
      </c>
    </row>
    <row r="336" spans="1:22" x14ac:dyDescent="0.25">
      <c r="A336" s="757">
        <f>'D-2 Off-Site Habitat Creation'!AF92</f>
        <v>0</v>
      </c>
      <c r="M336" s="757">
        <f>'E-2 Off-Site Hedge Creation'!AD93</f>
        <v>0</v>
      </c>
      <c r="V336" s="1">
        <f>'F-2 Off-Site WaterC'' Creation'!AG93</f>
        <v>0</v>
      </c>
    </row>
    <row r="337" spans="1:22" x14ac:dyDescent="0.25">
      <c r="A337" s="757">
        <f>'D-2 Off-Site Habitat Creation'!AF93</f>
        <v>0</v>
      </c>
      <c r="M337" s="757">
        <f>'E-2 Off-Site Hedge Creation'!AD94</f>
        <v>0</v>
      </c>
      <c r="V337" s="1">
        <f>'F-2 Off-Site WaterC'' Creation'!AG94</f>
        <v>0</v>
      </c>
    </row>
    <row r="338" spans="1:22" x14ac:dyDescent="0.25">
      <c r="A338" s="757">
        <f>'D-2 Off-Site Habitat Creation'!AF94</f>
        <v>0</v>
      </c>
      <c r="M338" s="757">
        <f>'E-2 Off-Site Hedge Creation'!AD95</f>
        <v>0</v>
      </c>
      <c r="V338" s="1">
        <f>'F-2 Off-Site WaterC'' Creation'!AG95</f>
        <v>0</v>
      </c>
    </row>
    <row r="339" spans="1:22" x14ac:dyDescent="0.25">
      <c r="A339" s="757">
        <f>'D-2 Off-Site Habitat Creation'!AF95</f>
        <v>0</v>
      </c>
      <c r="M339" s="757">
        <f>'E-2 Off-Site Hedge Creation'!AD96</f>
        <v>0</v>
      </c>
      <c r="V339" s="1">
        <f>'F-2 Off-Site WaterC'' Creation'!AG96</f>
        <v>0</v>
      </c>
    </row>
    <row r="340" spans="1:22" x14ac:dyDescent="0.25">
      <c r="A340" s="757">
        <f>'D-2 Off-Site Habitat Creation'!AF96</f>
        <v>0</v>
      </c>
      <c r="M340" s="757">
        <f>'E-2 Off-Site Hedge Creation'!AD97</f>
        <v>0</v>
      </c>
      <c r="V340" s="1">
        <f>'F-2 Off-Site WaterC'' Creation'!AG97</f>
        <v>0</v>
      </c>
    </row>
    <row r="341" spans="1:22" x14ac:dyDescent="0.25">
      <c r="A341" s="757">
        <f>'D-2 Off-Site Habitat Creation'!AF97</f>
        <v>0</v>
      </c>
      <c r="M341" s="757">
        <f>'E-2 Off-Site Hedge Creation'!AD98</f>
        <v>0</v>
      </c>
      <c r="V341" s="1">
        <f>'F-2 Off-Site WaterC'' Creation'!AG98</f>
        <v>0</v>
      </c>
    </row>
    <row r="342" spans="1:22" x14ac:dyDescent="0.25">
      <c r="A342" s="757">
        <f>'D-2 Off-Site Habitat Creation'!AF98</f>
        <v>0</v>
      </c>
      <c r="M342" s="757">
        <f>'E-2 Off-Site Hedge Creation'!AD99</f>
        <v>0</v>
      </c>
      <c r="V342" s="1">
        <f>'F-2 Off-Site WaterC'' Creation'!AG99</f>
        <v>0</v>
      </c>
    </row>
    <row r="343" spans="1:22" x14ac:dyDescent="0.25">
      <c r="A343" s="757">
        <f>'D-2 Off-Site Habitat Creation'!AF99</f>
        <v>0</v>
      </c>
      <c r="M343" s="757">
        <f>'E-2 Off-Site Hedge Creation'!AD100</f>
        <v>0</v>
      </c>
      <c r="V343" s="1">
        <f>'F-2 Off-Site WaterC'' Creation'!AG100</f>
        <v>0</v>
      </c>
    </row>
    <row r="344" spans="1:22" x14ac:dyDescent="0.25">
      <c r="A344" s="757">
        <f>'D-2 Off-Site Habitat Creation'!AF100</f>
        <v>0</v>
      </c>
      <c r="M344" s="757">
        <f>'E-2 Off-Site Hedge Creation'!AD101</f>
        <v>0</v>
      </c>
      <c r="V344" s="1">
        <f>'F-2 Off-Site WaterC'' Creation'!AG101</f>
        <v>0</v>
      </c>
    </row>
    <row r="345" spans="1:22" x14ac:dyDescent="0.25">
      <c r="A345" s="757">
        <f>'D-2 Off-Site Habitat Creation'!AF101</f>
        <v>0</v>
      </c>
      <c r="M345" s="757">
        <f>'E-2 Off-Site Hedge Creation'!AD102</f>
        <v>0</v>
      </c>
      <c r="V345" s="1">
        <f>'F-2 Off-Site WaterC'' Creation'!AG102</f>
        <v>0</v>
      </c>
    </row>
    <row r="346" spans="1:22" x14ac:dyDescent="0.25">
      <c r="A346" s="757">
        <f>'D-2 Off-Site Habitat Creation'!AF102</f>
        <v>0</v>
      </c>
      <c r="M346" s="757">
        <f>'E-2 Off-Site Hedge Creation'!AD103</f>
        <v>0</v>
      </c>
      <c r="V346" s="1">
        <f>'F-2 Off-Site WaterC'' Creation'!AG103</f>
        <v>0</v>
      </c>
    </row>
    <row r="347" spans="1:22" x14ac:dyDescent="0.25">
      <c r="A347" s="757">
        <f>'D-2 Off-Site Habitat Creation'!AF103</f>
        <v>0</v>
      </c>
      <c r="M347" s="757">
        <f>'E-2 Off-Site Hedge Creation'!AD104</f>
        <v>0</v>
      </c>
      <c r="V347" s="1">
        <f>'F-2 Off-Site WaterC'' Creation'!AG104</f>
        <v>0</v>
      </c>
    </row>
    <row r="348" spans="1:22" x14ac:dyDescent="0.25">
      <c r="A348" s="757">
        <f>'D-2 Off-Site Habitat Creation'!AF104</f>
        <v>0</v>
      </c>
      <c r="M348" s="757">
        <f>'E-2 Off-Site Hedge Creation'!AD105</f>
        <v>0</v>
      </c>
      <c r="V348" s="1">
        <f>'F-2 Off-Site WaterC'' Creation'!AG105</f>
        <v>0</v>
      </c>
    </row>
    <row r="349" spans="1:22" x14ac:dyDescent="0.25">
      <c r="A349" s="757">
        <f>'D-2 Off-Site Habitat Creation'!AF105</f>
        <v>0</v>
      </c>
      <c r="M349" s="757">
        <f>'E-2 Off-Site Hedge Creation'!AD106</f>
        <v>0</v>
      </c>
      <c r="V349" s="1">
        <f>'F-2 Off-Site WaterC'' Creation'!AG106</f>
        <v>0</v>
      </c>
    </row>
    <row r="350" spans="1:22" x14ac:dyDescent="0.25">
      <c r="A350" s="757">
        <f>'D-2 Off-Site Habitat Creation'!AF106</f>
        <v>0</v>
      </c>
      <c r="M350" s="757">
        <f>'E-2 Off-Site Hedge Creation'!AD107</f>
        <v>0</v>
      </c>
      <c r="V350" s="1">
        <f>'F-2 Off-Site WaterC'' Creation'!AG107</f>
        <v>0</v>
      </c>
    </row>
    <row r="351" spans="1:22" x14ac:dyDescent="0.25">
      <c r="A351" s="757">
        <f>'D-2 Off-Site Habitat Creation'!AF107</f>
        <v>0</v>
      </c>
      <c r="M351" s="757">
        <f>'E-2 Off-Site Hedge Creation'!AD108</f>
        <v>0</v>
      </c>
      <c r="V351" s="1">
        <f>'F-2 Off-Site WaterC'' Creation'!AG108</f>
        <v>0</v>
      </c>
    </row>
    <row r="352" spans="1:22" x14ac:dyDescent="0.25">
      <c r="A352" s="757">
        <f>'D-2 Off-Site Habitat Creation'!AF108</f>
        <v>0</v>
      </c>
      <c r="M352" s="757">
        <f>'E-2 Off-Site Hedge Creation'!AD109</f>
        <v>0</v>
      </c>
      <c r="V352" s="1">
        <f>'F-2 Off-Site WaterC'' Creation'!AG109</f>
        <v>0</v>
      </c>
    </row>
    <row r="353" spans="1:22" x14ac:dyDescent="0.25">
      <c r="A353" s="757">
        <f>'D-2 Off-Site Habitat Creation'!AF109</f>
        <v>0</v>
      </c>
      <c r="M353" s="757">
        <f>'E-2 Off-Site Hedge Creation'!AD110</f>
        <v>0</v>
      </c>
      <c r="V353" s="1">
        <f>'F-2 Off-Site WaterC'' Creation'!AG110</f>
        <v>0</v>
      </c>
    </row>
    <row r="354" spans="1:22" x14ac:dyDescent="0.25">
      <c r="A354" s="757">
        <f>'D-2 Off-Site Habitat Creation'!AF110</f>
        <v>0</v>
      </c>
      <c r="M354" s="757">
        <f>'E-2 Off-Site Hedge Creation'!AD111</f>
        <v>0</v>
      </c>
      <c r="V354" s="1">
        <f>'F-2 Off-Site WaterC'' Creation'!AG111</f>
        <v>0</v>
      </c>
    </row>
    <row r="355" spans="1:22" x14ac:dyDescent="0.25">
      <c r="A355" s="757">
        <f>'D-2 Off-Site Habitat Creation'!AF111</f>
        <v>0</v>
      </c>
      <c r="M355" s="757">
        <f>'E-2 Off-Site Hedge Creation'!AD112</f>
        <v>0</v>
      </c>
      <c r="V355" s="1">
        <f>'F-2 Off-Site WaterC'' Creation'!AG112</f>
        <v>0</v>
      </c>
    </row>
    <row r="356" spans="1:22" x14ac:dyDescent="0.25">
      <c r="A356" s="757">
        <f>'D-2 Off-Site Habitat Creation'!AF112</f>
        <v>0</v>
      </c>
      <c r="M356" s="757">
        <f>'E-2 Off-Site Hedge Creation'!AD113</f>
        <v>0</v>
      </c>
      <c r="V356" s="1">
        <f>'F-2 Off-Site WaterC'' Creation'!AG113</f>
        <v>0</v>
      </c>
    </row>
    <row r="357" spans="1:22" x14ac:dyDescent="0.25">
      <c r="A357" s="757">
        <f>'D-2 Off-Site Habitat Creation'!AF113</f>
        <v>0</v>
      </c>
      <c r="M357" s="757">
        <f>'E-2 Off-Site Hedge Creation'!AD114</f>
        <v>0</v>
      </c>
      <c r="V357" s="1">
        <f>'F-2 Off-Site WaterC'' Creation'!AG114</f>
        <v>0</v>
      </c>
    </row>
    <row r="358" spans="1:22" x14ac:dyDescent="0.25">
      <c r="A358" s="757">
        <f>'D-2 Off-Site Habitat Creation'!AF114</f>
        <v>0</v>
      </c>
      <c r="M358" s="757">
        <f>'E-2 Off-Site Hedge Creation'!AD115</f>
        <v>0</v>
      </c>
      <c r="V358" s="1">
        <f>'F-2 Off-Site WaterC'' Creation'!AG115</f>
        <v>0</v>
      </c>
    </row>
    <row r="359" spans="1:22" x14ac:dyDescent="0.25">
      <c r="A359" s="757">
        <f>'D-2 Off-Site Habitat Creation'!AF115</f>
        <v>0</v>
      </c>
      <c r="M359" s="757">
        <f>'E-2 Off-Site Hedge Creation'!AD116</f>
        <v>0</v>
      </c>
      <c r="V359" s="1">
        <f>'F-2 Off-Site WaterC'' Creation'!AG116</f>
        <v>0</v>
      </c>
    </row>
    <row r="360" spans="1:22" x14ac:dyDescent="0.25">
      <c r="A360" s="757">
        <f>'D-2 Off-Site Habitat Creation'!AF116</f>
        <v>0</v>
      </c>
      <c r="M360" s="757">
        <f>'E-2 Off-Site Hedge Creation'!AD117</f>
        <v>0</v>
      </c>
      <c r="V360" s="1">
        <f>'F-2 Off-Site WaterC'' Creation'!AG117</f>
        <v>0</v>
      </c>
    </row>
    <row r="361" spans="1:22" x14ac:dyDescent="0.25">
      <c r="A361" s="757">
        <f>'D-2 Off-Site Habitat Creation'!AF117</f>
        <v>0</v>
      </c>
      <c r="M361" s="757">
        <f>'E-2 Off-Site Hedge Creation'!AD118</f>
        <v>0</v>
      </c>
      <c r="V361" s="1">
        <f>'F-2 Off-Site WaterC'' Creation'!AG118</f>
        <v>0</v>
      </c>
    </row>
    <row r="362" spans="1:22" x14ac:dyDescent="0.25">
      <c r="A362" s="757">
        <f>'D-2 Off-Site Habitat Creation'!AF118</f>
        <v>0</v>
      </c>
      <c r="M362" s="757">
        <f>'E-2 Off-Site Hedge Creation'!AD119</f>
        <v>0</v>
      </c>
      <c r="V362" s="1">
        <f>'F-2 Off-Site WaterC'' Creation'!AG119</f>
        <v>0</v>
      </c>
    </row>
    <row r="363" spans="1:22" x14ac:dyDescent="0.25">
      <c r="A363" s="757">
        <f>'D-2 Off-Site Habitat Creation'!AF119</f>
        <v>0</v>
      </c>
      <c r="M363" s="757">
        <f>'E-2 Off-Site Hedge Creation'!AD120</f>
        <v>0</v>
      </c>
      <c r="V363" s="1">
        <f>'F-2 Off-Site WaterC'' Creation'!AG120</f>
        <v>0</v>
      </c>
    </row>
    <row r="364" spans="1:22" x14ac:dyDescent="0.25">
      <c r="A364" s="757">
        <f>'D-2 Off-Site Habitat Creation'!AF120</f>
        <v>0</v>
      </c>
      <c r="M364" s="757">
        <f>'E-2 Off-Site Hedge Creation'!AD121</f>
        <v>0</v>
      </c>
      <c r="V364" s="1">
        <f>'F-2 Off-Site WaterC'' Creation'!AG121</f>
        <v>0</v>
      </c>
    </row>
    <row r="365" spans="1:22" x14ac:dyDescent="0.25">
      <c r="A365" s="757">
        <f>'D-2 Off-Site Habitat Creation'!AF121</f>
        <v>0</v>
      </c>
      <c r="M365" s="757">
        <f>'E-2 Off-Site Hedge Creation'!AD122</f>
        <v>0</v>
      </c>
      <c r="V365" s="1">
        <f>'F-2 Off-Site WaterC'' Creation'!AG122</f>
        <v>0</v>
      </c>
    </row>
    <row r="366" spans="1:22" x14ac:dyDescent="0.25">
      <c r="A366" s="757">
        <f>'D-2 Off-Site Habitat Creation'!AF122</f>
        <v>0</v>
      </c>
      <c r="M366" s="757">
        <f>'E-2 Off-Site Hedge Creation'!AD123</f>
        <v>0</v>
      </c>
      <c r="V366" s="1">
        <f>'F-2 Off-Site WaterC'' Creation'!AG123</f>
        <v>0</v>
      </c>
    </row>
    <row r="367" spans="1:22" x14ac:dyDescent="0.25">
      <c r="A367" s="757">
        <f>'D-2 Off-Site Habitat Creation'!AF123</f>
        <v>0</v>
      </c>
      <c r="M367" s="757">
        <f>'E-2 Off-Site Hedge Creation'!AD124</f>
        <v>0</v>
      </c>
      <c r="V367" s="1">
        <f>'F-2 Off-Site WaterC'' Creation'!AG124</f>
        <v>0</v>
      </c>
    </row>
    <row r="368" spans="1:22" x14ac:dyDescent="0.25">
      <c r="A368" s="757">
        <f>'D-2 Off-Site Habitat Creation'!AF124</f>
        <v>0</v>
      </c>
      <c r="M368" s="757">
        <f>'E-2 Off-Site Hedge Creation'!AD125</f>
        <v>0</v>
      </c>
      <c r="V368" s="1">
        <f>'F-2 Off-Site WaterC'' Creation'!AG125</f>
        <v>0</v>
      </c>
    </row>
    <row r="369" spans="1:22" x14ac:dyDescent="0.25">
      <c r="A369" s="757">
        <f>'D-2 Off-Site Habitat Creation'!AF125</f>
        <v>0</v>
      </c>
      <c r="M369" s="757">
        <f>'E-2 Off-Site Hedge Creation'!AD126</f>
        <v>0</v>
      </c>
      <c r="V369" s="1">
        <f>'F-2 Off-Site WaterC'' Creation'!AG126</f>
        <v>0</v>
      </c>
    </row>
    <row r="370" spans="1:22" x14ac:dyDescent="0.25">
      <c r="A370" s="757">
        <f>'D-2 Off-Site Habitat Creation'!AF126</f>
        <v>0</v>
      </c>
      <c r="M370" s="757">
        <f>'E-2 Off-Site Hedge Creation'!AD127</f>
        <v>0</v>
      </c>
      <c r="V370" s="1">
        <f>'F-2 Off-Site WaterC'' Creation'!AG127</f>
        <v>0</v>
      </c>
    </row>
    <row r="371" spans="1:22" x14ac:dyDescent="0.25">
      <c r="A371" s="757">
        <f>'D-2 Off-Site Habitat Creation'!AF127</f>
        <v>0</v>
      </c>
      <c r="M371" s="757">
        <f>'E-2 Off-Site Hedge Creation'!AD128</f>
        <v>0</v>
      </c>
      <c r="V371" s="1">
        <f>'F-2 Off-Site WaterC'' Creation'!AG128</f>
        <v>0</v>
      </c>
    </row>
    <row r="372" spans="1:22" x14ac:dyDescent="0.25">
      <c r="A372" s="757">
        <f>'D-2 Off-Site Habitat Creation'!AF128</f>
        <v>0</v>
      </c>
      <c r="M372" s="757">
        <f>'E-2 Off-Site Hedge Creation'!AD129</f>
        <v>0</v>
      </c>
      <c r="V372" s="1">
        <f>'F-2 Off-Site WaterC'' Creation'!AG129</f>
        <v>0</v>
      </c>
    </row>
    <row r="373" spans="1:22" x14ac:dyDescent="0.25">
      <c r="A373" s="757">
        <f>'D-2 Off-Site Habitat Creation'!AF129</f>
        <v>0</v>
      </c>
      <c r="M373" s="757">
        <f>'E-2 Off-Site Hedge Creation'!AD130</f>
        <v>0</v>
      </c>
      <c r="V373" s="1">
        <f>'F-2 Off-Site WaterC'' Creation'!AG130</f>
        <v>0</v>
      </c>
    </row>
    <row r="374" spans="1:22" x14ac:dyDescent="0.25">
      <c r="A374" s="757">
        <f>'D-2 Off-Site Habitat Creation'!AF130</f>
        <v>0</v>
      </c>
      <c r="M374" s="757">
        <f>'E-2 Off-Site Hedge Creation'!AD131</f>
        <v>0</v>
      </c>
      <c r="V374" s="1">
        <f>'F-2 Off-Site WaterC'' Creation'!AG131</f>
        <v>0</v>
      </c>
    </row>
    <row r="375" spans="1:22" x14ac:dyDescent="0.25">
      <c r="A375" s="757">
        <f>'D-2 Off-Site Habitat Creation'!AF131</f>
        <v>0</v>
      </c>
      <c r="M375" s="757">
        <f>'E-2 Off-Site Hedge Creation'!AD132</f>
        <v>0</v>
      </c>
      <c r="V375" s="1">
        <f>'F-2 Off-Site WaterC'' Creation'!AG132</f>
        <v>0</v>
      </c>
    </row>
    <row r="376" spans="1:22" x14ac:dyDescent="0.25">
      <c r="A376" s="757">
        <f>'D-2 Off-Site Habitat Creation'!AF132</f>
        <v>0</v>
      </c>
      <c r="M376" s="757">
        <f>'E-2 Off-Site Hedge Creation'!AD133</f>
        <v>0</v>
      </c>
      <c r="V376" s="1">
        <f>'F-2 Off-Site WaterC'' Creation'!AG133</f>
        <v>0</v>
      </c>
    </row>
    <row r="377" spans="1:22" x14ac:dyDescent="0.25">
      <c r="A377" s="757">
        <f>'D-2 Off-Site Habitat Creation'!AF133</f>
        <v>0</v>
      </c>
      <c r="M377" s="757">
        <f>'E-2 Off-Site Hedge Creation'!AD134</f>
        <v>0</v>
      </c>
      <c r="V377" s="1">
        <f>'F-2 Off-Site WaterC'' Creation'!AG134</f>
        <v>0</v>
      </c>
    </row>
    <row r="378" spans="1:22" x14ac:dyDescent="0.25">
      <c r="A378" s="757">
        <f>'D-2 Off-Site Habitat Creation'!AF134</f>
        <v>0</v>
      </c>
      <c r="M378" s="757">
        <f>'E-2 Off-Site Hedge Creation'!AD135</f>
        <v>0</v>
      </c>
      <c r="V378" s="1">
        <f>'F-2 Off-Site WaterC'' Creation'!AG135</f>
        <v>0</v>
      </c>
    </row>
    <row r="379" spans="1:22" x14ac:dyDescent="0.25">
      <c r="A379" s="757">
        <f>'D-2 Off-Site Habitat Creation'!AF135</f>
        <v>0</v>
      </c>
      <c r="M379" s="757">
        <f>'E-2 Off-Site Hedge Creation'!AD136</f>
        <v>0</v>
      </c>
      <c r="V379" s="1">
        <f>'F-2 Off-Site WaterC'' Creation'!AG136</f>
        <v>0</v>
      </c>
    </row>
    <row r="380" spans="1:22" x14ac:dyDescent="0.25">
      <c r="A380" s="757">
        <f>'D-2 Off-Site Habitat Creation'!AF136</f>
        <v>0</v>
      </c>
      <c r="M380" s="757">
        <f>'E-2 Off-Site Hedge Creation'!AD137</f>
        <v>0</v>
      </c>
      <c r="V380" s="1">
        <f>'F-2 Off-Site WaterC'' Creation'!AG137</f>
        <v>0</v>
      </c>
    </row>
    <row r="381" spans="1:22" x14ac:dyDescent="0.25">
      <c r="A381" s="757">
        <f>'D-2 Off-Site Habitat Creation'!AF137</f>
        <v>0</v>
      </c>
      <c r="M381" s="757">
        <f>'E-2 Off-Site Hedge Creation'!AD138</f>
        <v>0</v>
      </c>
      <c r="V381" s="1">
        <f>'F-2 Off-Site WaterC'' Creation'!AG138</f>
        <v>0</v>
      </c>
    </row>
    <row r="382" spans="1:22" x14ac:dyDescent="0.25">
      <c r="A382" s="757">
        <f>'D-2 Off-Site Habitat Creation'!AF138</f>
        <v>0</v>
      </c>
      <c r="M382" s="757">
        <f>'E-2 Off-Site Hedge Creation'!AD139</f>
        <v>0</v>
      </c>
      <c r="V382" s="1">
        <f>'F-2 Off-Site WaterC'' Creation'!AG139</f>
        <v>0</v>
      </c>
    </row>
    <row r="383" spans="1:22" x14ac:dyDescent="0.25">
      <c r="A383" s="757">
        <f>'D-2 Off-Site Habitat Creation'!AF139</f>
        <v>0</v>
      </c>
      <c r="M383" s="757">
        <f>'E-2 Off-Site Hedge Creation'!AD140</f>
        <v>0</v>
      </c>
      <c r="V383" s="1">
        <f>'F-2 Off-Site WaterC'' Creation'!AG140</f>
        <v>0</v>
      </c>
    </row>
    <row r="384" spans="1:22" x14ac:dyDescent="0.25">
      <c r="A384" s="757">
        <f>'D-2 Off-Site Habitat Creation'!AF140</f>
        <v>0</v>
      </c>
      <c r="M384" s="757">
        <f>'E-2 Off-Site Hedge Creation'!AD141</f>
        <v>0</v>
      </c>
      <c r="V384" s="1">
        <f>'F-2 Off-Site WaterC'' Creation'!AG141</f>
        <v>0</v>
      </c>
    </row>
    <row r="385" spans="1:22" x14ac:dyDescent="0.25">
      <c r="A385" s="757">
        <f>'D-2 Off-Site Habitat Creation'!AF141</f>
        <v>0</v>
      </c>
      <c r="M385" s="757">
        <f>'E-2 Off-Site Hedge Creation'!AD142</f>
        <v>0</v>
      </c>
      <c r="V385" s="1">
        <f>'F-2 Off-Site WaterC'' Creation'!AG142</f>
        <v>0</v>
      </c>
    </row>
    <row r="386" spans="1:22" x14ac:dyDescent="0.25">
      <c r="A386" s="757">
        <f>'D-2 Off-Site Habitat Creation'!AF142</f>
        <v>0</v>
      </c>
      <c r="M386" s="757">
        <f>'E-2 Off-Site Hedge Creation'!AD143</f>
        <v>0</v>
      </c>
      <c r="V386" s="1">
        <f>'F-2 Off-Site WaterC'' Creation'!AG143</f>
        <v>0</v>
      </c>
    </row>
    <row r="387" spans="1:22" x14ac:dyDescent="0.25">
      <c r="A387" s="757">
        <f>'D-2 Off-Site Habitat Creation'!AF143</f>
        <v>0</v>
      </c>
      <c r="M387" s="757">
        <f>'E-2 Off-Site Hedge Creation'!AD144</f>
        <v>0</v>
      </c>
      <c r="V387" s="1">
        <f>'F-2 Off-Site WaterC'' Creation'!AG144</f>
        <v>0</v>
      </c>
    </row>
    <row r="388" spans="1:22" x14ac:dyDescent="0.25">
      <c r="A388" s="757">
        <f>'D-2 Off-Site Habitat Creation'!AF144</f>
        <v>0</v>
      </c>
      <c r="M388" s="757">
        <f>'E-2 Off-Site Hedge Creation'!AD145</f>
        <v>0</v>
      </c>
      <c r="V388" s="1">
        <f>'F-2 Off-Site WaterC'' Creation'!AG145</f>
        <v>0</v>
      </c>
    </row>
    <row r="389" spans="1:22" x14ac:dyDescent="0.25">
      <c r="A389" s="757">
        <f>'D-2 Off-Site Habitat Creation'!AF145</f>
        <v>0</v>
      </c>
      <c r="M389" s="757">
        <f>'E-2 Off-Site Hedge Creation'!AD146</f>
        <v>0</v>
      </c>
      <c r="V389" s="1">
        <f>'F-2 Off-Site WaterC'' Creation'!AG146</f>
        <v>0</v>
      </c>
    </row>
    <row r="390" spans="1:22" x14ac:dyDescent="0.25">
      <c r="A390" s="757">
        <f>'D-2 Off-Site Habitat Creation'!AF146</f>
        <v>0</v>
      </c>
      <c r="M390" s="757">
        <f>'E-2 Off-Site Hedge Creation'!AD147</f>
        <v>0</v>
      </c>
      <c r="V390" s="1">
        <f>'F-2 Off-Site WaterC'' Creation'!AG147</f>
        <v>0</v>
      </c>
    </row>
    <row r="391" spans="1:22" x14ac:dyDescent="0.25">
      <c r="A391" s="757">
        <f>'D-2 Off-Site Habitat Creation'!AF147</f>
        <v>0</v>
      </c>
      <c r="M391" s="757">
        <f>'E-2 Off-Site Hedge Creation'!AD148</f>
        <v>0</v>
      </c>
      <c r="V391" s="1">
        <f>'F-2 Off-Site WaterC'' Creation'!AG148</f>
        <v>0</v>
      </c>
    </row>
    <row r="392" spans="1:22" x14ac:dyDescent="0.25">
      <c r="A392" s="757">
        <f>'D-2 Off-Site Habitat Creation'!AF148</f>
        <v>0</v>
      </c>
      <c r="M392" s="757">
        <f>'E-2 Off-Site Hedge Creation'!AD149</f>
        <v>0</v>
      </c>
      <c r="V392" s="1">
        <f>'F-2 Off-Site WaterC'' Creation'!AG149</f>
        <v>0</v>
      </c>
    </row>
    <row r="393" spans="1:22" x14ac:dyDescent="0.25">
      <c r="A393" s="757">
        <f>'D-2 Off-Site Habitat Creation'!AF149</f>
        <v>0</v>
      </c>
      <c r="M393" s="757">
        <f>'E-2 Off-Site Hedge Creation'!AD150</f>
        <v>0</v>
      </c>
      <c r="V393" s="1">
        <f>'F-2 Off-Site WaterC'' Creation'!AG150</f>
        <v>0</v>
      </c>
    </row>
    <row r="394" spans="1:22" x14ac:dyDescent="0.25">
      <c r="A394" s="757">
        <f>'D-2 Off-Site Habitat Creation'!AF150</f>
        <v>0</v>
      </c>
      <c r="M394" s="757">
        <f>'E-2 Off-Site Hedge Creation'!AD151</f>
        <v>0</v>
      </c>
      <c r="V394" s="1">
        <f>'F-2 Off-Site WaterC'' Creation'!AG151</f>
        <v>0</v>
      </c>
    </row>
    <row r="395" spans="1:22" x14ac:dyDescent="0.25">
      <c r="A395" s="757">
        <f>'D-2 Off-Site Habitat Creation'!AF151</f>
        <v>0</v>
      </c>
      <c r="M395" s="757">
        <f>'E-2 Off-Site Hedge Creation'!AD152</f>
        <v>0</v>
      </c>
      <c r="V395" s="1">
        <f>'F-2 Off-Site WaterC'' Creation'!AG152</f>
        <v>0</v>
      </c>
    </row>
    <row r="396" spans="1:22" x14ac:dyDescent="0.25">
      <c r="A396" s="757">
        <f>'D-2 Off-Site Habitat Creation'!AF152</f>
        <v>0</v>
      </c>
      <c r="M396" s="757">
        <f>'E-2 Off-Site Hedge Creation'!AD153</f>
        <v>0</v>
      </c>
      <c r="V396" s="1">
        <f>'F-2 Off-Site WaterC'' Creation'!AG153</f>
        <v>0</v>
      </c>
    </row>
    <row r="397" spans="1:22" x14ac:dyDescent="0.25">
      <c r="A397" s="757">
        <f>'D-2 Off-Site Habitat Creation'!AF153</f>
        <v>0</v>
      </c>
      <c r="M397" s="757">
        <f>'E-2 Off-Site Hedge Creation'!AD154</f>
        <v>0</v>
      </c>
      <c r="V397" s="1">
        <f>'F-2 Off-Site WaterC'' Creation'!AG154</f>
        <v>0</v>
      </c>
    </row>
    <row r="398" spans="1:22" x14ac:dyDescent="0.25">
      <c r="A398" s="757">
        <f>'D-2 Off-Site Habitat Creation'!AF154</f>
        <v>0</v>
      </c>
      <c r="M398" s="757">
        <f>'E-2 Off-Site Hedge Creation'!AD155</f>
        <v>0</v>
      </c>
      <c r="V398" s="1">
        <f>'F-2 Off-Site WaterC'' Creation'!AG155</f>
        <v>0</v>
      </c>
    </row>
    <row r="399" spans="1:22" x14ac:dyDescent="0.25">
      <c r="A399" s="757">
        <f>'D-2 Off-Site Habitat Creation'!AF155</f>
        <v>0</v>
      </c>
      <c r="M399" s="757">
        <f>'E-2 Off-Site Hedge Creation'!AD156</f>
        <v>0</v>
      </c>
      <c r="V399" s="1">
        <f>'F-2 Off-Site WaterC'' Creation'!AG156</f>
        <v>0</v>
      </c>
    </row>
    <row r="400" spans="1:22" x14ac:dyDescent="0.25">
      <c r="A400" s="757">
        <f>'D-2 Off-Site Habitat Creation'!AF156</f>
        <v>0</v>
      </c>
      <c r="M400" s="757">
        <f>'E-2 Off-Site Hedge Creation'!AD157</f>
        <v>0</v>
      </c>
      <c r="V400" s="1">
        <f>'F-2 Off-Site WaterC'' Creation'!AG157</f>
        <v>0</v>
      </c>
    </row>
    <row r="401" spans="1:22" x14ac:dyDescent="0.25">
      <c r="A401" s="757">
        <f>'D-2 Off-Site Habitat Creation'!AF157</f>
        <v>0</v>
      </c>
      <c r="M401" s="757">
        <f>'E-2 Off-Site Hedge Creation'!AD158</f>
        <v>0</v>
      </c>
      <c r="V401" s="1">
        <f>'F-2 Off-Site WaterC'' Creation'!AG158</f>
        <v>0</v>
      </c>
    </row>
    <row r="402" spans="1:22" x14ac:dyDescent="0.25">
      <c r="A402" s="757">
        <f>'D-2 Off-Site Habitat Creation'!AF158</f>
        <v>0</v>
      </c>
      <c r="M402" s="757">
        <f>'E-2 Off-Site Hedge Creation'!AD159</f>
        <v>0</v>
      </c>
      <c r="V402" s="1">
        <f>'F-2 Off-Site WaterC'' Creation'!AG159</f>
        <v>0</v>
      </c>
    </row>
    <row r="403" spans="1:22" x14ac:dyDescent="0.25">
      <c r="A403" s="757">
        <f>'D-2 Off-Site Habitat Creation'!AF159</f>
        <v>0</v>
      </c>
      <c r="M403" s="757">
        <f>'E-2 Off-Site Hedge Creation'!AD160</f>
        <v>0</v>
      </c>
      <c r="V403" s="1">
        <f>'F-2 Off-Site WaterC'' Creation'!AG160</f>
        <v>0</v>
      </c>
    </row>
    <row r="404" spans="1:22" x14ac:dyDescent="0.25">
      <c r="A404" s="757">
        <f>'D-2 Off-Site Habitat Creation'!AF160</f>
        <v>0</v>
      </c>
      <c r="M404" s="757">
        <f>'E-2 Off-Site Hedge Creation'!AD161</f>
        <v>0</v>
      </c>
      <c r="V404" s="1">
        <f>'F-2 Off-Site WaterC'' Creation'!AG161</f>
        <v>0</v>
      </c>
    </row>
    <row r="405" spans="1:22" x14ac:dyDescent="0.25">
      <c r="A405" s="757">
        <f>'D-2 Off-Site Habitat Creation'!AF161</f>
        <v>0</v>
      </c>
      <c r="M405" s="757">
        <f>'E-2 Off-Site Hedge Creation'!AD162</f>
        <v>0</v>
      </c>
      <c r="V405" s="1">
        <f>'F-2 Off-Site WaterC'' Creation'!AG162</f>
        <v>0</v>
      </c>
    </row>
    <row r="406" spans="1:22" x14ac:dyDescent="0.25">
      <c r="A406" s="757">
        <f>'D-2 Off-Site Habitat Creation'!AF162</f>
        <v>0</v>
      </c>
      <c r="M406" s="757">
        <f>'E-2 Off-Site Hedge Creation'!AD163</f>
        <v>0</v>
      </c>
      <c r="V406" s="1">
        <f>'F-2 Off-Site WaterC'' Creation'!AG163</f>
        <v>0</v>
      </c>
    </row>
    <row r="407" spans="1:22" x14ac:dyDescent="0.25">
      <c r="A407" s="757">
        <f>'D-2 Off-Site Habitat Creation'!AF163</f>
        <v>0</v>
      </c>
      <c r="M407" s="757">
        <f>'E-2 Off-Site Hedge Creation'!AD164</f>
        <v>0</v>
      </c>
      <c r="V407" s="1">
        <f>'F-2 Off-Site WaterC'' Creation'!AG164</f>
        <v>0</v>
      </c>
    </row>
    <row r="408" spans="1:22" x14ac:dyDescent="0.25">
      <c r="A408" s="757">
        <f>'D-2 Off-Site Habitat Creation'!AF164</f>
        <v>0</v>
      </c>
      <c r="M408" s="757">
        <f>'E-2 Off-Site Hedge Creation'!AD165</f>
        <v>0</v>
      </c>
      <c r="V408" s="1">
        <f>'F-2 Off-Site WaterC'' Creation'!AG165</f>
        <v>0</v>
      </c>
    </row>
    <row r="409" spans="1:22" x14ac:dyDescent="0.25">
      <c r="A409" s="757">
        <f>'D-2 Off-Site Habitat Creation'!AF165</f>
        <v>0</v>
      </c>
      <c r="M409" s="757">
        <f>'E-2 Off-Site Hedge Creation'!AD166</f>
        <v>0</v>
      </c>
      <c r="V409" s="1">
        <f>'F-2 Off-Site WaterC'' Creation'!AG166</f>
        <v>0</v>
      </c>
    </row>
    <row r="410" spans="1:22" x14ac:dyDescent="0.25">
      <c r="A410" s="757">
        <f>'D-2 Off-Site Habitat Creation'!AF166</f>
        <v>0</v>
      </c>
      <c r="M410" s="757">
        <f>'E-2 Off-Site Hedge Creation'!AD167</f>
        <v>0</v>
      </c>
      <c r="V410" s="1">
        <f>'F-2 Off-Site WaterC'' Creation'!AG167</f>
        <v>0</v>
      </c>
    </row>
    <row r="411" spans="1:22" x14ac:dyDescent="0.25">
      <c r="A411" s="757">
        <f>'D-2 Off-Site Habitat Creation'!AF167</f>
        <v>0</v>
      </c>
      <c r="M411" s="757">
        <f>'E-2 Off-Site Hedge Creation'!AD168</f>
        <v>0</v>
      </c>
      <c r="V411" s="1">
        <f>'F-2 Off-Site WaterC'' Creation'!AG168</f>
        <v>0</v>
      </c>
    </row>
    <row r="412" spans="1:22" x14ac:dyDescent="0.25">
      <c r="A412" s="757">
        <f>'D-2 Off-Site Habitat Creation'!AF168</f>
        <v>0</v>
      </c>
      <c r="M412" s="757">
        <f>'E-2 Off-Site Hedge Creation'!AD169</f>
        <v>0</v>
      </c>
      <c r="V412" s="1">
        <f>'F-2 Off-Site WaterC'' Creation'!AG169</f>
        <v>0</v>
      </c>
    </row>
    <row r="413" spans="1:22" x14ac:dyDescent="0.25">
      <c r="A413" s="757">
        <f>'D-2 Off-Site Habitat Creation'!AF169</f>
        <v>0</v>
      </c>
      <c r="M413" s="757">
        <f>'E-2 Off-Site Hedge Creation'!AD170</f>
        <v>0</v>
      </c>
      <c r="V413" s="1">
        <f>'F-2 Off-Site WaterC'' Creation'!AG170</f>
        <v>0</v>
      </c>
    </row>
    <row r="414" spans="1:22" x14ac:dyDescent="0.25">
      <c r="A414" s="757">
        <f>'D-2 Off-Site Habitat Creation'!AF170</f>
        <v>0</v>
      </c>
      <c r="M414" s="757">
        <f>'E-2 Off-Site Hedge Creation'!AD171</f>
        <v>0</v>
      </c>
      <c r="V414" s="1">
        <f>'F-2 Off-Site WaterC'' Creation'!AG171</f>
        <v>0</v>
      </c>
    </row>
    <row r="415" spans="1:22" x14ac:dyDescent="0.25">
      <c r="A415" s="757">
        <f>'D-2 Off-Site Habitat Creation'!AF171</f>
        <v>0</v>
      </c>
      <c r="M415" s="757">
        <f>'E-2 Off-Site Hedge Creation'!AD172</f>
        <v>0</v>
      </c>
      <c r="V415" s="1">
        <f>'F-2 Off-Site WaterC'' Creation'!AG172</f>
        <v>0</v>
      </c>
    </row>
    <row r="416" spans="1:22" x14ac:dyDescent="0.25">
      <c r="A416" s="757">
        <f>'D-2 Off-Site Habitat Creation'!AF172</f>
        <v>0</v>
      </c>
      <c r="M416" s="757">
        <f>'E-2 Off-Site Hedge Creation'!AD173</f>
        <v>0</v>
      </c>
      <c r="V416" s="1">
        <f>'F-2 Off-Site WaterC'' Creation'!AG173</f>
        <v>0</v>
      </c>
    </row>
    <row r="417" spans="1:22" x14ac:dyDescent="0.25">
      <c r="A417" s="757">
        <f>'D-2 Off-Site Habitat Creation'!AF173</f>
        <v>0</v>
      </c>
      <c r="M417" s="757">
        <f>'E-2 Off-Site Hedge Creation'!AD174</f>
        <v>0</v>
      </c>
      <c r="V417" s="1">
        <f>'F-2 Off-Site WaterC'' Creation'!AG174</f>
        <v>0</v>
      </c>
    </row>
    <row r="418" spans="1:22" x14ac:dyDescent="0.25">
      <c r="A418" s="757">
        <f>'D-2 Off-Site Habitat Creation'!AF174</f>
        <v>0</v>
      </c>
      <c r="M418" s="757">
        <f>'E-2 Off-Site Hedge Creation'!AD175</f>
        <v>0</v>
      </c>
      <c r="V418" s="1">
        <f>'F-2 Off-Site WaterC'' Creation'!AG175</f>
        <v>0</v>
      </c>
    </row>
    <row r="419" spans="1:22" x14ac:dyDescent="0.25">
      <c r="A419" s="757">
        <f>'D-2 Off-Site Habitat Creation'!AF175</f>
        <v>0</v>
      </c>
      <c r="M419" s="757">
        <f>'E-2 Off-Site Hedge Creation'!AD176</f>
        <v>0</v>
      </c>
      <c r="V419" s="1">
        <f>'F-2 Off-Site WaterC'' Creation'!AG176</f>
        <v>0</v>
      </c>
    </row>
    <row r="420" spans="1:22" x14ac:dyDescent="0.25">
      <c r="A420" s="757">
        <f>'D-2 Off-Site Habitat Creation'!AF176</f>
        <v>0</v>
      </c>
      <c r="M420" s="757">
        <f>'E-2 Off-Site Hedge Creation'!AD177</f>
        <v>0</v>
      </c>
      <c r="V420" s="1">
        <f>'F-2 Off-Site WaterC'' Creation'!AG177</f>
        <v>0</v>
      </c>
    </row>
    <row r="421" spans="1:22" x14ac:dyDescent="0.25">
      <c r="A421" s="757">
        <f>'D-2 Off-Site Habitat Creation'!AF177</f>
        <v>0</v>
      </c>
      <c r="M421" s="757">
        <f>'E-2 Off-Site Hedge Creation'!AD178</f>
        <v>0</v>
      </c>
      <c r="V421" s="1">
        <f>'F-2 Off-Site WaterC'' Creation'!AG178</f>
        <v>0</v>
      </c>
    </row>
    <row r="422" spans="1:22" x14ac:dyDescent="0.25">
      <c r="A422" s="757">
        <f>'D-2 Off-Site Habitat Creation'!AF178</f>
        <v>0</v>
      </c>
      <c r="M422" s="757">
        <f>'E-2 Off-Site Hedge Creation'!AD179</f>
        <v>0</v>
      </c>
      <c r="V422" s="1">
        <f>'F-2 Off-Site WaterC'' Creation'!AG179</f>
        <v>0</v>
      </c>
    </row>
    <row r="423" spans="1:22" x14ac:dyDescent="0.25">
      <c r="A423" s="757">
        <f>'D-2 Off-Site Habitat Creation'!AF179</f>
        <v>0</v>
      </c>
      <c r="M423" s="757">
        <f>'E-2 Off-Site Hedge Creation'!AD180</f>
        <v>0</v>
      </c>
      <c r="V423" s="1">
        <f>'F-2 Off-Site WaterC'' Creation'!AG180</f>
        <v>0</v>
      </c>
    </row>
    <row r="424" spans="1:22" x14ac:dyDescent="0.25">
      <c r="A424" s="757">
        <f>'D-2 Off-Site Habitat Creation'!AF180</f>
        <v>0</v>
      </c>
      <c r="M424" s="757">
        <f>'E-2 Off-Site Hedge Creation'!AD181</f>
        <v>0</v>
      </c>
      <c r="V424" s="1">
        <f>'F-2 Off-Site WaterC'' Creation'!AG181</f>
        <v>0</v>
      </c>
    </row>
    <row r="425" spans="1:22" x14ac:dyDescent="0.25">
      <c r="A425" s="757">
        <f>'D-2 Off-Site Habitat Creation'!AF181</f>
        <v>0</v>
      </c>
      <c r="M425" s="757">
        <f>'E-2 Off-Site Hedge Creation'!AD182</f>
        <v>0</v>
      </c>
      <c r="V425" s="1">
        <f>'F-2 Off-Site WaterC'' Creation'!AG182</f>
        <v>0</v>
      </c>
    </row>
    <row r="426" spans="1:22" x14ac:dyDescent="0.25">
      <c r="A426" s="757">
        <f>'D-2 Off-Site Habitat Creation'!AF182</f>
        <v>0</v>
      </c>
      <c r="M426" s="757">
        <f>'E-2 Off-Site Hedge Creation'!AD183</f>
        <v>0</v>
      </c>
      <c r="V426" s="1">
        <f>'F-2 Off-Site WaterC'' Creation'!AG183</f>
        <v>0</v>
      </c>
    </row>
    <row r="427" spans="1:22" x14ac:dyDescent="0.25">
      <c r="A427" s="757">
        <f>'D-2 Off-Site Habitat Creation'!AF183</f>
        <v>0</v>
      </c>
      <c r="M427" s="757">
        <f>'E-2 Off-Site Hedge Creation'!AD184</f>
        <v>0</v>
      </c>
      <c r="V427" s="1">
        <f>'F-2 Off-Site WaterC'' Creation'!AG184</f>
        <v>0</v>
      </c>
    </row>
    <row r="428" spans="1:22" x14ac:dyDescent="0.25">
      <c r="A428" s="757">
        <f>'D-2 Off-Site Habitat Creation'!AF184</f>
        <v>0</v>
      </c>
      <c r="M428" s="757">
        <f>'E-2 Off-Site Hedge Creation'!AD185</f>
        <v>0</v>
      </c>
      <c r="V428" s="1">
        <f>'F-2 Off-Site WaterC'' Creation'!AG185</f>
        <v>0</v>
      </c>
    </row>
    <row r="429" spans="1:22" x14ac:dyDescent="0.25">
      <c r="A429" s="757">
        <f>'D-2 Off-Site Habitat Creation'!AF185</f>
        <v>0</v>
      </c>
      <c r="M429" s="757">
        <f>'E-2 Off-Site Hedge Creation'!AD186</f>
        <v>0</v>
      </c>
      <c r="V429" s="1">
        <f>'F-2 Off-Site WaterC'' Creation'!AG186</f>
        <v>0</v>
      </c>
    </row>
    <row r="430" spans="1:22" x14ac:dyDescent="0.25">
      <c r="A430" s="757">
        <f>'D-2 Off-Site Habitat Creation'!AF186</f>
        <v>0</v>
      </c>
      <c r="M430" s="757">
        <f>'E-2 Off-Site Hedge Creation'!AD187</f>
        <v>0</v>
      </c>
      <c r="V430" s="1">
        <f>'F-2 Off-Site WaterC'' Creation'!AG187</f>
        <v>0</v>
      </c>
    </row>
    <row r="431" spans="1:22" x14ac:dyDescent="0.25">
      <c r="A431" s="757">
        <f>'D-2 Off-Site Habitat Creation'!AF187</f>
        <v>0</v>
      </c>
      <c r="M431" s="757">
        <f>'E-2 Off-Site Hedge Creation'!AD188</f>
        <v>0</v>
      </c>
      <c r="V431" s="1">
        <f>'F-2 Off-Site WaterC'' Creation'!AG188</f>
        <v>0</v>
      </c>
    </row>
    <row r="432" spans="1:22" x14ac:dyDescent="0.25">
      <c r="A432" s="757">
        <f>'D-2 Off-Site Habitat Creation'!AF188</f>
        <v>0</v>
      </c>
      <c r="M432" s="757">
        <f>'E-2 Off-Site Hedge Creation'!AD189</f>
        <v>0</v>
      </c>
      <c r="V432" s="1">
        <f>'F-2 Off-Site WaterC'' Creation'!AG189</f>
        <v>0</v>
      </c>
    </row>
    <row r="433" spans="1:22" x14ac:dyDescent="0.25">
      <c r="A433" s="757">
        <f>'D-2 Off-Site Habitat Creation'!AF189</f>
        <v>0</v>
      </c>
      <c r="M433" s="757">
        <f>'E-2 Off-Site Hedge Creation'!AD190</f>
        <v>0</v>
      </c>
      <c r="V433" s="1">
        <f>'F-2 Off-Site WaterC'' Creation'!AG190</f>
        <v>0</v>
      </c>
    </row>
    <row r="434" spans="1:22" x14ac:dyDescent="0.25">
      <c r="A434" s="757">
        <f>'D-2 Off-Site Habitat Creation'!AF190</f>
        <v>0</v>
      </c>
      <c r="M434" s="757">
        <f>'E-2 Off-Site Hedge Creation'!AD191</f>
        <v>0</v>
      </c>
      <c r="V434" s="1">
        <f>'F-2 Off-Site WaterC'' Creation'!AG191</f>
        <v>0</v>
      </c>
    </row>
    <row r="435" spans="1:22" x14ac:dyDescent="0.25">
      <c r="A435" s="757">
        <f>'D-2 Off-Site Habitat Creation'!AF191</f>
        <v>0</v>
      </c>
      <c r="M435" s="757">
        <f>'E-2 Off-Site Hedge Creation'!AD192</f>
        <v>0</v>
      </c>
      <c r="V435" s="1">
        <f>'F-2 Off-Site WaterC'' Creation'!AG192</f>
        <v>0</v>
      </c>
    </row>
    <row r="436" spans="1:22" x14ac:dyDescent="0.25">
      <c r="A436" s="757">
        <f>'D-2 Off-Site Habitat Creation'!AF192</f>
        <v>0</v>
      </c>
      <c r="M436" s="757">
        <f>'E-2 Off-Site Hedge Creation'!AD193</f>
        <v>0</v>
      </c>
      <c r="V436" s="1">
        <f>'F-2 Off-Site WaterC'' Creation'!AG193</f>
        <v>0</v>
      </c>
    </row>
    <row r="437" spans="1:22" x14ac:dyDescent="0.25">
      <c r="A437" s="757">
        <f>'D-2 Off-Site Habitat Creation'!AF193</f>
        <v>0</v>
      </c>
      <c r="M437" s="757">
        <f>'E-2 Off-Site Hedge Creation'!AD194</f>
        <v>0</v>
      </c>
      <c r="V437" s="1">
        <f>'F-2 Off-Site WaterC'' Creation'!AG194</f>
        <v>0</v>
      </c>
    </row>
    <row r="438" spans="1:22" x14ac:dyDescent="0.25">
      <c r="A438" s="757">
        <f>'D-2 Off-Site Habitat Creation'!AF194</f>
        <v>0</v>
      </c>
      <c r="M438" s="757">
        <f>'E-2 Off-Site Hedge Creation'!AD195</f>
        <v>0</v>
      </c>
      <c r="V438" s="1">
        <f>'F-2 Off-Site WaterC'' Creation'!AG195</f>
        <v>0</v>
      </c>
    </row>
    <row r="439" spans="1:22" x14ac:dyDescent="0.25">
      <c r="A439" s="757">
        <f>'D-2 Off-Site Habitat Creation'!AF195</f>
        <v>0</v>
      </c>
      <c r="M439" s="757">
        <f>'E-2 Off-Site Hedge Creation'!AD196</f>
        <v>0</v>
      </c>
      <c r="V439" s="1">
        <f>'F-2 Off-Site WaterC'' Creation'!AG196</f>
        <v>0</v>
      </c>
    </row>
    <row r="440" spans="1:22" x14ac:dyDescent="0.25">
      <c r="A440" s="757">
        <f>'D-2 Off-Site Habitat Creation'!AF196</f>
        <v>0</v>
      </c>
      <c r="M440" s="757">
        <f>'E-2 Off-Site Hedge Creation'!AD197</f>
        <v>0</v>
      </c>
      <c r="V440" s="1">
        <f>'F-2 Off-Site WaterC'' Creation'!AG197</f>
        <v>0</v>
      </c>
    </row>
    <row r="441" spans="1:22" x14ac:dyDescent="0.25">
      <c r="A441" s="757">
        <f>'D-2 Off-Site Habitat Creation'!AF197</f>
        <v>0</v>
      </c>
      <c r="M441" s="757">
        <f>'E-2 Off-Site Hedge Creation'!AD198</f>
        <v>0</v>
      </c>
      <c r="V441" s="1">
        <f>'F-2 Off-Site WaterC'' Creation'!AG198</f>
        <v>0</v>
      </c>
    </row>
    <row r="442" spans="1:22" x14ac:dyDescent="0.25">
      <c r="A442" s="757">
        <f>'D-2 Off-Site Habitat Creation'!AF198</f>
        <v>0</v>
      </c>
      <c r="M442" s="757">
        <f>'E-2 Off-Site Hedge Creation'!AD199</f>
        <v>0</v>
      </c>
      <c r="V442" s="1">
        <f>'F-2 Off-Site WaterC'' Creation'!AG199</f>
        <v>0</v>
      </c>
    </row>
    <row r="443" spans="1:22" x14ac:dyDescent="0.25">
      <c r="A443" s="757">
        <f>'D-2 Off-Site Habitat Creation'!AF199</f>
        <v>0</v>
      </c>
      <c r="M443" s="757">
        <f>'E-2 Off-Site Hedge Creation'!AD200</f>
        <v>0</v>
      </c>
      <c r="V443" s="1">
        <f>'F-2 Off-Site WaterC'' Creation'!AG200</f>
        <v>0</v>
      </c>
    </row>
    <row r="444" spans="1:22" x14ac:dyDescent="0.25">
      <c r="A444" s="757">
        <f>'D-2 Off-Site Habitat Creation'!AF200</f>
        <v>0</v>
      </c>
      <c r="M444" s="757">
        <f>'E-2 Off-Site Hedge Creation'!AD201</f>
        <v>0</v>
      </c>
      <c r="V444" s="1">
        <f>'F-2 Off-Site WaterC'' Creation'!AG201</f>
        <v>0</v>
      </c>
    </row>
    <row r="445" spans="1:22" x14ac:dyDescent="0.25">
      <c r="A445" s="757">
        <f>'D-2 Off-Site Habitat Creation'!AF201</f>
        <v>0</v>
      </c>
      <c r="M445" s="757">
        <f>'E-2 Off-Site Hedge Creation'!AD202</f>
        <v>0</v>
      </c>
      <c r="V445" s="1">
        <f>'F-2 Off-Site WaterC'' Creation'!AG202</f>
        <v>0</v>
      </c>
    </row>
    <row r="446" spans="1:22" x14ac:dyDescent="0.25">
      <c r="A446" s="757">
        <f>'D-2 Off-Site Habitat Creation'!AF202</f>
        <v>0</v>
      </c>
      <c r="M446" s="757">
        <f>'E-2 Off-Site Hedge Creation'!AD203</f>
        <v>0</v>
      </c>
      <c r="V446" s="1">
        <f>'F-2 Off-Site WaterC'' Creation'!AG203</f>
        <v>0</v>
      </c>
    </row>
    <row r="447" spans="1:22" x14ac:dyDescent="0.25">
      <c r="A447" s="757">
        <f>'D-2 Off-Site Habitat Creation'!AF203</f>
        <v>0</v>
      </c>
      <c r="M447" s="757">
        <f>'E-2 Off-Site Hedge Creation'!AD204</f>
        <v>0</v>
      </c>
      <c r="V447" s="1">
        <f>'F-2 Off-Site WaterC'' Creation'!AG204</f>
        <v>0</v>
      </c>
    </row>
    <row r="448" spans="1:22" x14ac:dyDescent="0.25">
      <c r="A448" s="757">
        <f>'D-2 Off-Site Habitat Creation'!AF204</f>
        <v>0</v>
      </c>
      <c r="M448" s="757">
        <f>'E-2 Off-Site Hedge Creation'!AD205</f>
        <v>0</v>
      </c>
      <c r="V448" s="1">
        <f>'F-2 Off-Site WaterC'' Creation'!AG205</f>
        <v>0</v>
      </c>
    </row>
    <row r="449" spans="1:22" x14ac:dyDescent="0.25">
      <c r="A449" s="757">
        <f>'D-2 Off-Site Habitat Creation'!AF205</f>
        <v>0</v>
      </c>
      <c r="M449" s="757">
        <f>'E-2 Off-Site Hedge Creation'!AD206</f>
        <v>0</v>
      </c>
      <c r="V449" s="1">
        <f>'F-2 Off-Site WaterC'' Creation'!AG206</f>
        <v>0</v>
      </c>
    </row>
    <row r="450" spans="1:22" x14ac:dyDescent="0.25">
      <c r="A450" s="757">
        <f>'D-2 Off-Site Habitat Creation'!AF206</f>
        <v>0</v>
      </c>
      <c r="M450" s="757">
        <f>'E-2 Off-Site Hedge Creation'!AD207</f>
        <v>0</v>
      </c>
      <c r="V450" s="1">
        <f>'F-2 Off-Site WaterC'' Creation'!AG207</f>
        <v>0</v>
      </c>
    </row>
    <row r="451" spans="1:22" x14ac:dyDescent="0.25">
      <c r="A451" s="757">
        <f>'D-2 Off-Site Habitat Creation'!AF207</f>
        <v>0</v>
      </c>
      <c r="M451" s="757">
        <f>'E-2 Off-Site Hedge Creation'!AD208</f>
        <v>0</v>
      </c>
      <c r="V451" s="1">
        <f>'F-2 Off-Site WaterC'' Creation'!AG208</f>
        <v>0</v>
      </c>
    </row>
    <row r="452" spans="1:22" x14ac:dyDescent="0.25">
      <c r="A452" s="757">
        <f>'D-2 Off-Site Habitat Creation'!AF208</f>
        <v>0</v>
      </c>
      <c r="M452" s="757">
        <f>'E-2 Off-Site Hedge Creation'!AD209</f>
        <v>0</v>
      </c>
      <c r="V452" s="1">
        <f>'F-2 Off-Site WaterC'' Creation'!AG209</f>
        <v>0</v>
      </c>
    </row>
    <row r="453" spans="1:22" x14ac:dyDescent="0.25">
      <c r="A453" s="757">
        <f>'D-2 Off-Site Habitat Creation'!AF209</f>
        <v>0</v>
      </c>
      <c r="M453" s="757">
        <f>'E-2 Off-Site Hedge Creation'!AD210</f>
        <v>0</v>
      </c>
      <c r="V453" s="1">
        <f>'F-2 Off-Site WaterC'' Creation'!AG210</f>
        <v>0</v>
      </c>
    </row>
    <row r="454" spans="1:22" x14ac:dyDescent="0.25">
      <c r="A454" s="757">
        <f>'D-2 Off-Site Habitat Creation'!AF210</f>
        <v>0</v>
      </c>
      <c r="M454" s="757">
        <f>'E-2 Off-Site Hedge Creation'!AD211</f>
        <v>0</v>
      </c>
      <c r="V454" s="1">
        <f>'F-2 Off-Site WaterC'' Creation'!AG211</f>
        <v>0</v>
      </c>
    </row>
    <row r="455" spans="1:22" x14ac:dyDescent="0.25">
      <c r="A455" s="757">
        <f>'D-2 Off-Site Habitat Creation'!AF211</f>
        <v>0</v>
      </c>
      <c r="M455" s="757">
        <f>'E-2 Off-Site Hedge Creation'!AD212</f>
        <v>0</v>
      </c>
      <c r="V455" s="1">
        <f>'F-2 Off-Site WaterC'' Creation'!AG212</f>
        <v>0</v>
      </c>
    </row>
    <row r="456" spans="1:22" x14ac:dyDescent="0.25">
      <c r="A456" s="757">
        <f>'D-2 Off-Site Habitat Creation'!AF212</f>
        <v>0</v>
      </c>
      <c r="M456" s="757">
        <f>'E-2 Off-Site Hedge Creation'!AD213</f>
        <v>0</v>
      </c>
      <c r="V456" s="1">
        <f>'F-2 Off-Site WaterC'' Creation'!AG213</f>
        <v>0</v>
      </c>
    </row>
    <row r="457" spans="1:22" x14ac:dyDescent="0.25">
      <c r="A457" s="757">
        <f>'D-2 Off-Site Habitat Creation'!AF213</f>
        <v>0</v>
      </c>
      <c r="M457" s="757">
        <f>'E-2 Off-Site Hedge Creation'!AD214</f>
        <v>0</v>
      </c>
      <c r="V457" s="1">
        <f>'F-2 Off-Site WaterC'' Creation'!AG214</f>
        <v>0</v>
      </c>
    </row>
    <row r="458" spans="1:22" x14ac:dyDescent="0.25">
      <c r="A458" s="757">
        <f>'D-2 Off-Site Habitat Creation'!AF214</f>
        <v>0</v>
      </c>
      <c r="M458" s="757">
        <f>'E-2 Off-Site Hedge Creation'!AD215</f>
        <v>0</v>
      </c>
      <c r="V458" s="1">
        <f>'F-2 Off-Site WaterC'' Creation'!AG215</f>
        <v>0</v>
      </c>
    </row>
    <row r="459" spans="1:22" x14ac:dyDescent="0.25">
      <c r="A459" s="757">
        <f>'D-2 Off-Site Habitat Creation'!AF215</f>
        <v>0</v>
      </c>
      <c r="M459" s="757">
        <f>'E-2 Off-Site Hedge Creation'!AD216</f>
        <v>0</v>
      </c>
      <c r="V459" s="1">
        <f>'F-2 Off-Site WaterC'' Creation'!AG216</f>
        <v>0</v>
      </c>
    </row>
    <row r="460" spans="1:22" x14ac:dyDescent="0.25">
      <c r="A460" s="757">
        <f>'D-2 Off-Site Habitat Creation'!AF216</f>
        <v>0</v>
      </c>
      <c r="M460" s="757">
        <f>'E-2 Off-Site Hedge Creation'!AD217</f>
        <v>0</v>
      </c>
      <c r="V460" s="1">
        <f>'F-2 Off-Site WaterC'' Creation'!AG217</f>
        <v>0</v>
      </c>
    </row>
    <row r="461" spans="1:22" x14ac:dyDescent="0.25">
      <c r="A461" s="757">
        <f>'D-2 Off-Site Habitat Creation'!AF217</f>
        <v>0</v>
      </c>
      <c r="M461" s="757">
        <f>'E-2 Off-Site Hedge Creation'!AD218</f>
        <v>0</v>
      </c>
      <c r="V461" s="1">
        <f>'F-2 Off-Site WaterC'' Creation'!AG218</f>
        <v>0</v>
      </c>
    </row>
    <row r="462" spans="1:22" x14ac:dyDescent="0.25">
      <c r="A462" s="757">
        <f>'D-2 Off-Site Habitat Creation'!AF218</f>
        <v>0</v>
      </c>
      <c r="M462" s="757">
        <f>'E-2 Off-Site Hedge Creation'!AD219</f>
        <v>0</v>
      </c>
      <c r="V462" s="1">
        <f>'F-2 Off-Site WaterC'' Creation'!AG219</f>
        <v>0</v>
      </c>
    </row>
    <row r="463" spans="1:22" x14ac:dyDescent="0.25">
      <c r="A463" s="757">
        <f>'D-2 Off-Site Habitat Creation'!AF219</f>
        <v>0</v>
      </c>
      <c r="M463" s="757">
        <f>'E-2 Off-Site Hedge Creation'!AD220</f>
        <v>0</v>
      </c>
      <c r="V463" s="1">
        <f>'F-2 Off-Site WaterC'' Creation'!AG220</f>
        <v>0</v>
      </c>
    </row>
    <row r="464" spans="1:22" x14ac:dyDescent="0.25">
      <c r="A464" s="757">
        <f>'D-2 Off-Site Habitat Creation'!AF220</f>
        <v>0</v>
      </c>
      <c r="M464" s="757">
        <f>'E-2 Off-Site Hedge Creation'!AD221</f>
        <v>0</v>
      </c>
      <c r="V464" s="1">
        <f>'F-2 Off-Site WaterC'' Creation'!AG221</f>
        <v>0</v>
      </c>
    </row>
    <row r="465" spans="1:22" x14ac:dyDescent="0.25">
      <c r="A465" s="757">
        <f>'D-2 Off-Site Habitat Creation'!AF221</f>
        <v>0</v>
      </c>
      <c r="M465" s="757">
        <f>'E-2 Off-Site Hedge Creation'!AD222</f>
        <v>0</v>
      </c>
      <c r="V465" s="1">
        <f>'F-2 Off-Site WaterC'' Creation'!AG222</f>
        <v>0</v>
      </c>
    </row>
    <row r="466" spans="1:22" x14ac:dyDescent="0.25">
      <c r="A466" s="757">
        <f>'D-2 Off-Site Habitat Creation'!AF222</f>
        <v>0</v>
      </c>
      <c r="M466" s="757">
        <f>'E-2 Off-Site Hedge Creation'!AD223</f>
        <v>0</v>
      </c>
      <c r="V466" s="1">
        <f>'F-2 Off-Site WaterC'' Creation'!AG223</f>
        <v>0</v>
      </c>
    </row>
    <row r="467" spans="1:22" x14ac:dyDescent="0.25">
      <c r="A467" s="757">
        <f>'D-2 Off-Site Habitat Creation'!AF223</f>
        <v>0</v>
      </c>
      <c r="M467" s="757">
        <f>'E-2 Off-Site Hedge Creation'!AD224</f>
        <v>0</v>
      </c>
      <c r="V467" s="1">
        <f>'F-2 Off-Site WaterC'' Creation'!AG224</f>
        <v>0</v>
      </c>
    </row>
    <row r="468" spans="1:22" x14ac:dyDescent="0.25">
      <c r="A468" s="757">
        <f>'D-2 Off-Site Habitat Creation'!AF224</f>
        <v>0</v>
      </c>
      <c r="M468" s="757">
        <f>'E-2 Off-Site Hedge Creation'!AD225</f>
        <v>0</v>
      </c>
      <c r="V468" s="1">
        <f>'F-2 Off-Site WaterC'' Creation'!AG225</f>
        <v>0</v>
      </c>
    </row>
    <row r="469" spans="1:22" x14ac:dyDescent="0.25">
      <c r="A469" s="757">
        <f>'D-2 Off-Site Habitat Creation'!AF225</f>
        <v>0</v>
      </c>
      <c r="M469" s="757">
        <f>'E-2 Off-Site Hedge Creation'!AD226</f>
        <v>0</v>
      </c>
      <c r="V469" s="1">
        <f>'F-2 Off-Site WaterC'' Creation'!AG226</f>
        <v>0</v>
      </c>
    </row>
    <row r="470" spans="1:22" x14ac:dyDescent="0.25">
      <c r="A470" s="757">
        <f>'D-2 Off-Site Habitat Creation'!AF226</f>
        <v>0</v>
      </c>
      <c r="M470" s="757">
        <f>'E-2 Off-Site Hedge Creation'!AD227</f>
        <v>0</v>
      </c>
      <c r="V470" s="1">
        <f>'F-2 Off-Site WaterC'' Creation'!AG227</f>
        <v>0</v>
      </c>
    </row>
    <row r="471" spans="1:22" x14ac:dyDescent="0.25">
      <c r="A471" s="757">
        <f>'D-2 Off-Site Habitat Creation'!AF227</f>
        <v>0</v>
      </c>
      <c r="M471" s="757">
        <f>'E-2 Off-Site Hedge Creation'!AD228</f>
        <v>0</v>
      </c>
      <c r="V471" s="1">
        <f>'F-2 Off-Site WaterC'' Creation'!AG228</f>
        <v>0</v>
      </c>
    </row>
    <row r="472" spans="1:22" x14ac:dyDescent="0.25">
      <c r="A472" s="757">
        <f>'D-2 Off-Site Habitat Creation'!AF228</f>
        <v>0</v>
      </c>
      <c r="M472" s="757">
        <f>'E-2 Off-Site Hedge Creation'!AD229</f>
        <v>0</v>
      </c>
      <c r="V472" s="1">
        <f>'F-2 Off-Site WaterC'' Creation'!AG229</f>
        <v>0</v>
      </c>
    </row>
    <row r="473" spans="1:22" x14ac:dyDescent="0.25">
      <c r="A473" s="757">
        <f>'D-2 Off-Site Habitat Creation'!AF229</f>
        <v>0</v>
      </c>
      <c r="M473" s="757">
        <f>'E-2 Off-Site Hedge Creation'!AD230</f>
        <v>0</v>
      </c>
      <c r="V473" s="1">
        <f>'F-2 Off-Site WaterC'' Creation'!AG230</f>
        <v>0</v>
      </c>
    </row>
    <row r="474" spans="1:22" x14ac:dyDescent="0.25">
      <c r="A474" s="757">
        <f>'D-2 Off-Site Habitat Creation'!AF230</f>
        <v>0</v>
      </c>
      <c r="M474" s="757">
        <f>'E-2 Off-Site Hedge Creation'!AD231</f>
        <v>0</v>
      </c>
      <c r="V474" s="1">
        <f>'F-2 Off-Site WaterC'' Creation'!AG231</f>
        <v>0</v>
      </c>
    </row>
    <row r="475" spans="1:22" x14ac:dyDescent="0.25">
      <c r="A475" s="757">
        <f>'D-2 Off-Site Habitat Creation'!AF231</f>
        <v>0</v>
      </c>
      <c r="M475" s="757">
        <f>'E-2 Off-Site Hedge Creation'!AD232</f>
        <v>0</v>
      </c>
      <c r="V475" s="1">
        <f>'F-2 Off-Site WaterC'' Creation'!AG232</f>
        <v>0</v>
      </c>
    </row>
    <row r="476" spans="1:22" x14ac:dyDescent="0.25">
      <c r="A476" s="757">
        <f>'D-2 Off-Site Habitat Creation'!AF232</f>
        <v>0</v>
      </c>
      <c r="M476" s="757">
        <f>'E-2 Off-Site Hedge Creation'!AD233</f>
        <v>0</v>
      </c>
      <c r="V476" s="1">
        <f>'F-2 Off-Site WaterC'' Creation'!AG233</f>
        <v>0</v>
      </c>
    </row>
    <row r="477" spans="1:22" x14ac:dyDescent="0.25">
      <c r="A477" s="757">
        <f>'D-2 Off-Site Habitat Creation'!AF233</f>
        <v>0</v>
      </c>
      <c r="M477" s="757">
        <f>'E-2 Off-Site Hedge Creation'!AD234</f>
        <v>0</v>
      </c>
      <c r="V477" s="1">
        <f>'F-2 Off-Site WaterC'' Creation'!AG234</f>
        <v>0</v>
      </c>
    </row>
    <row r="478" spans="1:22" x14ac:dyDescent="0.25">
      <c r="A478" s="757">
        <f>'D-2 Off-Site Habitat Creation'!AF234</f>
        <v>0</v>
      </c>
      <c r="M478" s="757">
        <f>'E-2 Off-Site Hedge Creation'!AD235</f>
        <v>0</v>
      </c>
      <c r="V478" s="1">
        <f>'F-2 Off-Site WaterC'' Creation'!AG235</f>
        <v>0</v>
      </c>
    </row>
    <row r="479" spans="1:22" x14ac:dyDescent="0.25">
      <c r="A479" s="757">
        <f>'D-2 Off-Site Habitat Creation'!AF235</f>
        <v>0</v>
      </c>
      <c r="M479" s="757">
        <f>'E-2 Off-Site Hedge Creation'!AD236</f>
        <v>0</v>
      </c>
      <c r="V479" s="1">
        <f>'F-2 Off-Site WaterC'' Creation'!AG236</f>
        <v>0</v>
      </c>
    </row>
    <row r="480" spans="1:22" x14ac:dyDescent="0.25">
      <c r="A480" s="757">
        <f>'D-2 Off-Site Habitat Creation'!AF236</f>
        <v>0</v>
      </c>
      <c r="M480" s="757">
        <f>'E-2 Off-Site Hedge Creation'!AD237</f>
        <v>0</v>
      </c>
      <c r="V480" s="1">
        <f>'F-2 Off-Site WaterC'' Creation'!AG237</f>
        <v>0</v>
      </c>
    </row>
    <row r="481" spans="1:22" x14ac:dyDescent="0.25">
      <c r="A481" s="757">
        <f>'D-2 Off-Site Habitat Creation'!AF237</f>
        <v>0</v>
      </c>
      <c r="M481" s="757">
        <f>'E-2 Off-Site Hedge Creation'!AD238</f>
        <v>0</v>
      </c>
      <c r="V481" s="1">
        <f>'F-2 Off-Site WaterC'' Creation'!AG238</f>
        <v>0</v>
      </c>
    </row>
    <row r="482" spans="1:22" x14ac:dyDescent="0.25">
      <c r="A482" s="757">
        <f>'D-2 Off-Site Habitat Creation'!AF238</f>
        <v>0</v>
      </c>
      <c r="M482" s="757">
        <f>'E-2 Off-Site Hedge Creation'!AD239</f>
        <v>0</v>
      </c>
      <c r="V482" s="1">
        <f>'F-2 Off-Site WaterC'' Creation'!AG239</f>
        <v>0</v>
      </c>
    </row>
    <row r="483" spans="1:22" x14ac:dyDescent="0.25">
      <c r="A483" s="757">
        <f>'D-2 Off-Site Habitat Creation'!AF239</f>
        <v>0</v>
      </c>
      <c r="M483" s="757">
        <f>'E-2 Off-Site Hedge Creation'!AD240</f>
        <v>0</v>
      </c>
      <c r="V483" s="1">
        <f>'F-2 Off-Site WaterC'' Creation'!AG240</f>
        <v>0</v>
      </c>
    </row>
    <row r="484" spans="1:22" x14ac:dyDescent="0.25">
      <c r="A484" s="757">
        <f>'D-2 Off-Site Habitat Creation'!AF240</f>
        <v>0</v>
      </c>
      <c r="M484" s="757">
        <f>'E-2 Off-Site Hedge Creation'!AD241</f>
        <v>0</v>
      </c>
      <c r="V484" s="1">
        <f>'F-2 Off-Site WaterC'' Creation'!AG241</f>
        <v>0</v>
      </c>
    </row>
    <row r="485" spans="1:22" x14ac:dyDescent="0.25">
      <c r="A485" s="757">
        <f>'D-2 Off-Site Habitat Creation'!AF241</f>
        <v>0</v>
      </c>
      <c r="M485" s="757">
        <f>'E-2 Off-Site Hedge Creation'!AD242</f>
        <v>0</v>
      </c>
      <c r="V485" s="1">
        <f>'F-2 Off-Site WaterC'' Creation'!AG242</f>
        <v>0</v>
      </c>
    </row>
    <row r="486" spans="1:22" x14ac:dyDescent="0.25">
      <c r="A486" s="757">
        <f>'D-2 Off-Site Habitat Creation'!AF242</f>
        <v>0</v>
      </c>
      <c r="M486" s="757">
        <f>'E-2 Off-Site Hedge Creation'!AD243</f>
        <v>0</v>
      </c>
      <c r="V486" s="1">
        <f>'F-2 Off-Site WaterC'' Creation'!AG243</f>
        <v>0</v>
      </c>
    </row>
    <row r="487" spans="1:22" x14ac:dyDescent="0.25">
      <c r="A487" s="757">
        <f>'D-2 Off-Site Habitat Creation'!AF243</f>
        <v>0</v>
      </c>
      <c r="M487" s="757">
        <f>'E-2 Off-Site Hedge Creation'!AD244</f>
        <v>0</v>
      </c>
      <c r="V487" s="1">
        <f>'F-2 Off-Site WaterC'' Creation'!AG244</f>
        <v>0</v>
      </c>
    </row>
    <row r="488" spans="1:22" x14ac:dyDescent="0.25">
      <c r="A488" s="757">
        <f>'D-2 Off-Site Habitat Creation'!AF244</f>
        <v>0</v>
      </c>
      <c r="M488" s="757">
        <f>'E-2 Off-Site Hedge Creation'!AD245</f>
        <v>0</v>
      </c>
      <c r="V488" s="1">
        <f>'F-2 Off-Site WaterC'' Creation'!AG245</f>
        <v>0</v>
      </c>
    </row>
    <row r="489" spans="1:22" x14ac:dyDescent="0.25">
      <c r="A489" s="757">
        <f>'D-2 Off-Site Habitat Creation'!AF245</f>
        <v>0</v>
      </c>
      <c r="M489" s="757">
        <f>'E-2 Off-Site Hedge Creation'!AD246</f>
        <v>0</v>
      </c>
      <c r="V489" s="1">
        <f>'F-2 Off-Site WaterC'' Creation'!AG246</f>
        <v>0</v>
      </c>
    </row>
    <row r="490" spans="1:22" x14ac:dyDescent="0.25">
      <c r="A490" s="757">
        <f>'D-2 Off-Site Habitat Creation'!AF246</f>
        <v>0</v>
      </c>
      <c r="M490" s="757">
        <f>'E-2 Off-Site Hedge Creation'!AD247</f>
        <v>0</v>
      </c>
      <c r="V490" s="1">
        <f>'F-2 Off-Site WaterC'' Creation'!AG247</f>
        <v>0</v>
      </c>
    </row>
    <row r="491" spans="1:22" x14ac:dyDescent="0.25">
      <c r="A491" s="757">
        <f>'D-2 Off-Site Habitat Creation'!AF247</f>
        <v>0</v>
      </c>
      <c r="M491" s="757">
        <f>'E-2 Off-Site Hedge Creation'!AD248</f>
        <v>0</v>
      </c>
      <c r="V491" s="1">
        <f>'F-2 Off-Site WaterC'' Creation'!AG248</f>
        <v>0</v>
      </c>
    </row>
    <row r="492" spans="1:22" x14ac:dyDescent="0.25">
      <c r="A492" s="757">
        <f>'D-2 Off-Site Habitat Creation'!AF248</f>
        <v>0</v>
      </c>
      <c r="M492" s="757">
        <f>'E-2 Off-Site Hedge Creation'!AD249</f>
        <v>0</v>
      </c>
      <c r="V492" s="1">
        <f>'F-2 Off-Site WaterC'' Creation'!AG249</f>
        <v>0</v>
      </c>
    </row>
    <row r="493" spans="1:22" x14ac:dyDescent="0.25">
      <c r="A493" s="757">
        <f>'D-2 Off-Site Habitat Creation'!AF249</f>
        <v>0</v>
      </c>
      <c r="M493" s="757">
        <f>'E-2 Off-Site Hedge Creation'!AD250</f>
        <v>0</v>
      </c>
      <c r="V493" s="1">
        <f>'F-2 Off-Site WaterC'' Creation'!AG250</f>
        <v>0</v>
      </c>
    </row>
    <row r="494" spans="1:22" x14ac:dyDescent="0.25">
      <c r="A494" s="757">
        <f>'D-2 Off-Site Habitat Creation'!AF250</f>
        <v>0</v>
      </c>
      <c r="M494" s="757">
        <f>'E-2 Off-Site Hedge Creation'!AD251</f>
        <v>0</v>
      </c>
      <c r="V494" s="1">
        <f>'F-2 Off-Site WaterC'' Creation'!AG251</f>
        <v>0</v>
      </c>
    </row>
    <row r="495" spans="1:22" x14ac:dyDescent="0.25">
      <c r="A495" s="757">
        <f>'D-2 Off-Site Habitat Creation'!AF251</f>
        <v>0</v>
      </c>
      <c r="M495" s="757">
        <f>'E-2 Off-Site Hedge Creation'!AD252</f>
        <v>0</v>
      </c>
      <c r="V495" s="1">
        <f>'F-2 Off-Site WaterC'' Creation'!AG252</f>
        <v>0</v>
      </c>
    </row>
    <row r="496" spans="1:22" x14ac:dyDescent="0.25">
      <c r="A496" s="757">
        <f>'D-2 Off-Site Habitat Creation'!AF252</f>
        <v>0</v>
      </c>
      <c r="M496" s="757">
        <f>'E-2 Off-Site Hedge Creation'!AD253</f>
        <v>0</v>
      </c>
      <c r="V496" s="1">
        <f>'F-2 Off-Site WaterC'' Creation'!AG253</f>
        <v>0</v>
      </c>
    </row>
    <row r="497" spans="1:22" x14ac:dyDescent="0.25">
      <c r="A497" s="757">
        <f>'D-2 Off-Site Habitat Creation'!AF253</f>
        <v>0</v>
      </c>
      <c r="M497" s="757">
        <f>'E-2 Off-Site Hedge Creation'!AD254</f>
        <v>0</v>
      </c>
      <c r="V497" s="1">
        <f>'F-2 Off-Site WaterC'' Creation'!AG254</f>
        <v>0</v>
      </c>
    </row>
    <row r="498" spans="1:22" x14ac:dyDescent="0.25">
      <c r="A498" s="757">
        <f>'D-2 Off-Site Habitat Creation'!AF254</f>
        <v>0</v>
      </c>
      <c r="M498" s="757">
        <f>'E-2 Off-Site Hedge Creation'!AD255</f>
        <v>0</v>
      </c>
      <c r="V498" s="1">
        <f>'F-2 Off-Site WaterC'' Creation'!AG255</f>
        <v>0</v>
      </c>
    </row>
    <row r="499" spans="1:22" x14ac:dyDescent="0.25">
      <c r="A499" s="757">
        <f>'D-2 Off-Site Habitat Creation'!AF255</f>
        <v>0</v>
      </c>
      <c r="M499" s="757">
        <f>'E-2 Off-Site Hedge Creation'!AD256</f>
        <v>0</v>
      </c>
      <c r="V499" s="1">
        <f>'F-2 Off-Site WaterC'' Creation'!AG256</f>
        <v>0</v>
      </c>
    </row>
    <row r="500" spans="1:22" x14ac:dyDescent="0.25">
      <c r="A500" s="757">
        <f>'D-2 Off-Site Habitat Creation'!AF256</f>
        <v>0</v>
      </c>
      <c r="M500" s="757">
        <f>'E-3 Off-Site Hedge Enhancement'!AO12</f>
        <v>0</v>
      </c>
      <c r="V500" s="1">
        <f>'F-2 Off-Site WaterC'' Creation'!AG257</f>
        <v>0</v>
      </c>
    </row>
    <row r="501" spans="1:22" x14ac:dyDescent="0.25">
      <c r="A501" s="757">
        <f>'D-3 Off-Site Habitat Enhancment'!AU12</f>
        <v>0</v>
      </c>
      <c r="M501" s="757">
        <f>'E-3 Off-Site Hedge Enhancement'!AO13</f>
        <v>0</v>
      </c>
      <c r="V501" s="1">
        <f>'F-2 Off-Site WaterC'' Creation'!AG258</f>
        <v>0</v>
      </c>
    </row>
    <row r="502" spans="1:22" x14ac:dyDescent="0.25">
      <c r="A502" s="757">
        <f>'D-3 Off-Site Habitat Enhancment'!AU13</f>
        <v>0</v>
      </c>
      <c r="M502" s="757">
        <f>'E-3 Off-Site Hedge Enhancement'!AO14</f>
        <v>0</v>
      </c>
      <c r="V502" s="1">
        <f>'F-2 Off-Site WaterC'' Creation'!AG259</f>
        <v>0</v>
      </c>
    </row>
    <row r="503" spans="1:22" x14ac:dyDescent="0.25">
      <c r="A503" s="757">
        <f>'D-3 Off-Site Habitat Enhancment'!AU14</f>
        <v>0</v>
      </c>
      <c r="M503" s="757">
        <f>'E-3 Off-Site Hedge Enhancement'!AO15</f>
        <v>0</v>
      </c>
      <c r="V503" s="1">
        <f>'F-3 Off-Site WaterC Enhancement'!AT12</f>
        <v>0</v>
      </c>
    </row>
    <row r="504" spans="1:22" x14ac:dyDescent="0.25">
      <c r="A504" s="757">
        <f>'D-3 Off-Site Habitat Enhancment'!AU15</f>
        <v>0</v>
      </c>
      <c r="M504" s="757">
        <f>'E-3 Off-Site Hedge Enhancement'!AO16</f>
        <v>0</v>
      </c>
      <c r="V504" s="1">
        <f>'F-3 Off-Site WaterC Enhancement'!AT13</f>
        <v>0</v>
      </c>
    </row>
    <row r="505" spans="1:22" x14ac:dyDescent="0.25">
      <c r="A505" s="757">
        <f>'D-3 Off-Site Habitat Enhancment'!AU16</f>
        <v>0</v>
      </c>
      <c r="M505" s="757">
        <f>'E-3 Off-Site Hedge Enhancement'!AO17</f>
        <v>0</v>
      </c>
      <c r="V505" s="1">
        <f>'F-3 Off-Site WaterC Enhancement'!AT14</f>
        <v>0</v>
      </c>
    </row>
    <row r="506" spans="1:22" x14ac:dyDescent="0.25">
      <c r="A506" s="757">
        <f>'D-3 Off-Site Habitat Enhancment'!AU17</f>
        <v>0</v>
      </c>
      <c r="M506" s="757">
        <f>'E-3 Off-Site Hedge Enhancement'!AO18</f>
        <v>0</v>
      </c>
      <c r="V506" s="1">
        <f>'F-3 Off-Site WaterC Enhancement'!AT15</f>
        <v>0</v>
      </c>
    </row>
    <row r="507" spans="1:22" x14ac:dyDescent="0.25">
      <c r="A507" s="757">
        <f>'D-3 Off-Site Habitat Enhancment'!AU18</f>
        <v>0</v>
      </c>
      <c r="M507" s="757">
        <f>'E-3 Off-Site Hedge Enhancement'!AO19</f>
        <v>0</v>
      </c>
      <c r="V507" s="1">
        <f>'F-3 Off-Site WaterC Enhancement'!AT16</f>
        <v>0</v>
      </c>
    </row>
    <row r="508" spans="1:22" x14ac:dyDescent="0.25">
      <c r="A508" s="757">
        <f>'D-3 Off-Site Habitat Enhancment'!AU19</f>
        <v>0</v>
      </c>
      <c r="M508" s="757">
        <f>'E-3 Off-Site Hedge Enhancement'!AO20</f>
        <v>0</v>
      </c>
      <c r="V508" s="1">
        <f>'F-3 Off-Site WaterC Enhancement'!AT17</f>
        <v>0</v>
      </c>
    </row>
    <row r="509" spans="1:22" x14ac:dyDescent="0.25">
      <c r="A509" s="757">
        <f>'D-3 Off-Site Habitat Enhancment'!AU20</f>
        <v>0</v>
      </c>
      <c r="M509" s="757">
        <f>'E-3 Off-Site Hedge Enhancement'!AO21</f>
        <v>0</v>
      </c>
      <c r="V509" s="1">
        <f>'F-3 Off-Site WaterC Enhancement'!AT18</f>
        <v>0</v>
      </c>
    </row>
    <row r="510" spans="1:22" x14ac:dyDescent="0.25">
      <c r="A510" s="757">
        <f>'D-3 Off-Site Habitat Enhancment'!AU21</f>
        <v>0</v>
      </c>
      <c r="M510" s="757">
        <f>'E-3 Off-Site Hedge Enhancement'!AO22</f>
        <v>0</v>
      </c>
      <c r="V510" s="1">
        <f>'F-3 Off-Site WaterC Enhancement'!AT19</f>
        <v>0</v>
      </c>
    </row>
    <row r="511" spans="1:22" x14ac:dyDescent="0.25">
      <c r="A511" s="757">
        <f>'D-3 Off-Site Habitat Enhancment'!AU22</f>
        <v>0</v>
      </c>
      <c r="M511" s="757">
        <f>'E-3 Off-Site Hedge Enhancement'!AO23</f>
        <v>0</v>
      </c>
      <c r="V511" s="1">
        <f>'F-3 Off-Site WaterC Enhancement'!AT20</f>
        <v>0</v>
      </c>
    </row>
    <row r="512" spans="1:22" x14ac:dyDescent="0.25">
      <c r="A512" s="757">
        <f>'D-3 Off-Site Habitat Enhancment'!AU23</f>
        <v>0</v>
      </c>
      <c r="M512" s="757">
        <f>'E-3 Off-Site Hedge Enhancement'!AO24</f>
        <v>0</v>
      </c>
      <c r="V512" s="1">
        <f>'F-3 Off-Site WaterC Enhancement'!AT21</f>
        <v>0</v>
      </c>
    </row>
    <row r="513" spans="1:22" x14ac:dyDescent="0.25">
      <c r="A513" s="757">
        <f>'D-3 Off-Site Habitat Enhancment'!AU24</f>
        <v>0</v>
      </c>
      <c r="M513" s="757">
        <f>'E-3 Off-Site Hedge Enhancement'!AO25</f>
        <v>0</v>
      </c>
      <c r="V513" s="1">
        <f>'F-3 Off-Site WaterC Enhancement'!AT22</f>
        <v>0</v>
      </c>
    </row>
    <row r="514" spans="1:22" x14ac:dyDescent="0.25">
      <c r="A514" s="757">
        <f>'D-3 Off-Site Habitat Enhancment'!AU25</f>
        <v>0</v>
      </c>
      <c r="M514" s="757">
        <f>'E-3 Off-Site Hedge Enhancement'!AO26</f>
        <v>0</v>
      </c>
      <c r="V514" s="1">
        <f>'F-3 Off-Site WaterC Enhancement'!AT23</f>
        <v>0</v>
      </c>
    </row>
    <row r="515" spans="1:22" x14ac:dyDescent="0.25">
      <c r="A515" s="757">
        <f>'D-3 Off-Site Habitat Enhancment'!AU26</f>
        <v>0</v>
      </c>
      <c r="M515" s="757">
        <f>'E-3 Off-Site Hedge Enhancement'!AO27</f>
        <v>0</v>
      </c>
      <c r="V515" s="1">
        <f>'F-3 Off-Site WaterC Enhancement'!AT24</f>
        <v>0</v>
      </c>
    </row>
    <row r="516" spans="1:22" x14ac:dyDescent="0.25">
      <c r="A516" s="757">
        <f>'D-3 Off-Site Habitat Enhancment'!AU27</f>
        <v>0</v>
      </c>
      <c r="M516" s="757">
        <f>'E-3 Off-Site Hedge Enhancement'!AO28</f>
        <v>0</v>
      </c>
      <c r="V516" s="1">
        <f>'F-3 Off-Site WaterC Enhancement'!AT25</f>
        <v>0</v>
      </c>
    </row>
    <row r="517" spans="1:22" x14ac:dyDescent="0.25">
      <c r="A517" s="757">
        <f>'D-3 Off-Site Habitat Enhancment'!AU28</f>
        <v>0</v>
      </c>
      <c r="M517" s="757">
        <f>'E-3 Off-Site Hedge Enhancement'!AO29</f>
        <v>0</v>
      </c>
      <c r="V517" s="1">
        <f>'F-3 Off-Site WaterC Enhancement'!AT26</f>
        <v>0</v>
      </c>
    </row>
    <row r="518" spans="1:22" x14ac:dyDescent="0.25">
      <c r="A518" s="757">
        <f>'D-3 Off-Site Habitat Enhancment'!AU29</f>
        <v>0</v>
      </c>
      <c r="M518" s="757">
        <f>'E-3 Off-Site Hedge Enhancement'!AO30</f>
        <v>0</v>
      </c>
      <c r="V518" s="1">
        <f>'F-3 Off-Site WaterC Enhancement'!AT27</f>
        <v>0</v>
      </c>
    </row>
    <row r="519" spans="1:22" x14ac:dyDescent="0.25">
      <c r="A519" s="757">
        <f>'D-3 Off-Site Habitat Enhancment'!AU30</f>
        <v>0</v>
      </c>
      <c r="M519" s="757">
        <f>'E-3 Off-Site Hedge Enhancement'!AO31</f>
        <v>0</v>
      </c>
      <c r="V519" s="1">
        <f>'F-3 Off-Site WaterC Enhancement'!AT28</f>
        <v>0</v>
      </c>
    </row>
    <row r="520" spans="1:22" x14ac:dyDescent="0.25">
      <c r="A520" s="757">
        <f>'D-3 Off-Site Habitat Enhancment'!AU31</f>
        <v>0</v>
      </c>
      <c r="M520" s="757">
        <f>'E-3 Off-Site Hedge Enhancement'!AO32</f>
        <v>0</v>
      </c>
      <c r="V520" s="1">
        <f>'F-3 Off-Site WaterC Enhancement'!AT29</f>
        <v>0</v>
      </c>
    </row>
    <row r="521" spans="1:22" x14ac:dyDescent="0.25">
      <c r="A521" s="757">
        <f>'D-3 Off-Site Habitat Enhancment'!AU32</f>
        <v>0</v>
      </c>
      <c r="M521" s="757">
        <f>'E-3 Off-Site Hedge Enhancement'!AO33</f>
        <v>0</v>
      </c>
      <c r="V521" s="1">
        <f>'F-3 Off-Site WaterC Enhancement'!AT30</f>
        <v>0</v>
      </c>
    </row>
    <row r="522" spans="1:22" x14ac:dyDescent="0.25">
      <c r="A522" s="757">
        <f>'D-3 Off-Site Habitat Enhancment'!AU33</f>
        <v>0</v>
      </c>
      <c r="M522" s="757">
        <f>'E-3 Off-Site Hedge Enhancement'!AO34</f>
        <v>0</v>
      </c>
      <c r="V522" s="1">
        <f>'F-3 Off-Site WaterC Enhancement'!AT31</f>
        <v>0</v>
      </c>
    </row>
    <row r="523" spans="1:22" x14ac:dyDescent="0.25">
      <c r="A523" s="757">
        <f>'D-3 Off-Site Habitat Enhancment'!AU34</f>
        <v>0</v>
      </c>
      <c r="M523" s="757">
        <f>'E-3 Off-Site Hedge Enhancement'!AO35</f>
        <v>0</v>
      </c>
      <c r="V523" s="1">
        <f>'F-3 Off-Site WaterC Enhancement'!AT32</f>
        <v>0</v>
      </c>
    </row>
    <row r="524" spans="1:22" x14ac:dyDescent="0.25">
      <c r="A524" s="757">
        <f>'D-3 Off-Site Habitat Enhancment'!AU35</f>
        <v>0</v>
      </c>
      <c r="M524" s="757">
        <f>'E-3 Off-Site Hedge Enhancement'!AO36</f>
        <v>0</v>
      </c>
      <c r="V524" s="1">
        <f>'F-3 Off-Site WaterC Enhancement'!AT33</f>
        <v>0</v>
      </c>
    </row>
    <row r="525" spans="1:22" x14ac:dyDescent="0.25">
      <c r="A525" s="757">
        <f>'D-3 Off-Site Habitat Enhancment'!AU36</f>
        <v>0</v>
      </c>
      <c r="M525" s="757">
        <f>'E-3 Off-Site Hedge Enhancement'!AO37</f>
        <v>0</v>
      </c>
      <c r="V525" s="1">
        <f>'F-3 Off-Site WaterC Enhancement'!AT34</f>
        <v>0</v>
      </c>
    </row>
    <row r="526" spans="1:22" x14ac:dyDescent="0.25">
      <c r="A526" s="757">
        <f>'D-3 Off-Site Habitat Enhancment'!AU37</f>
        <v>0</v>
      </c>
      <c r="M526" s="757">
        <f>'E-3 Off-Site Hedge Enhancement'!AO38</f>
        <v>0</v>
      </c>
      <c r="V526" s="1">
        <f>'F-3 Off-Site WaterC Enhancement'!AT35</f>
        <v>0</v>
      </c>
    </row>
    <row r="527" spans="1:22" x14ac:dyDescent="0.25">
      <c r="A527" s="757">
        <f>'D-3 Off-Site Habitat Enhancment'!AU38</f>
        <v>0</v>
      </c>
      <c r="M527" s="757">
        <f>'E-3 Off-Site Hedge Enhancement'!AO39</f>
        <v>0</v>
      </c>
      <c r="V527" s="1">
        <f>'F-3 Off-Site WaterC Enhancement'!AT36</f>
        <v>0</v>
      </c>
    </row>
    <row r="528" spans="1:22" x14ac:dyDescent="0.25">
      <c r="A528" s="757">
        <f>'D-3 Off-Site Habitat Enhancment'!AU39</f>
        <v>0</v>
      </c>
      <c r="M528" s="757">
        <f>'E-3 Off-Site Hedge Enhancement'!AO40</f>
        <v>0</v>
      </c>
      <c r="V528" s="1">
        <f>'F-3 Off-Site WaterC Enhancement'!AT37</f>
        <v>0</v>
      </c>
    </row>
    <row r="529" spans="1:22" x14ac:dyDescent="0.25">
      <c r="A529" s="757">
        <f>'D-3 Off-Site Habitat Enhancment'!AU40</f>
        <v>0</v>
      </c>
      <c r="M529" s="757">
        <f>'E-3 Off-Site Hedge Enhancement'!AO41</f>
        <v>0</v>
      </c>
      <c r="V529" s="1">
        <f>'F-3 Off-Site WaterC Enhancement'!AT38</f>
        <v>0</v>
      </c>
    </row>
    <row r="530" spans="1:22" x14ac:dyDescent="0.25">
      <c r="A530" s="757">
        <f>'D-3 Off-Site Habitat Enhancment'!AU41</f>
        <v>0</v>
      </c>
      <c r="M530" s="757">
        <f>'E-3 Off-Site Hedge Enhancement'!AO42</f>
        <v>0</v>
      </c>
      <c r="V530" s="1">
        <f>'F-3 Off-Site WaterC Enhancement'!AT39</f>
        <v>0</v>
      </c>
    </row>
    <row r="531" spans="1:22" x14ac:dyDescent="0.25">
      <c r="A531" s="757">
        <f>'D-3 Off-Site Habitat Enhancment'!AU42</f>
        <v>0</v>
      </c>
      <c r="M531" s="757">
        <f>'E-3 Off-Site Hedge Enhancement'!AO43</f>
        <v>0</v>
      </c>
      <c r="V531" s="1">
        <f>'F-3 Off-Site WaterC Enhancement'!AT40</f>
        <v>0</v>
      </c>
    </row>
    <row r="532" spans="1:22" x14ac:dyDescent="0.25">
      <c r="A532" s="757">
        <f>'D-3 Off-Site Habitat Enhancment'!AU43</f>
        <v>0</v>
      </c>
      <c r="M532" s="757">
        <f>'E-3 Off-Site Hedge Enhancement'!AO44</f>
        <v>0</v>
      </c>
      <c r="V532" s="1">
        <f>'F-3 Off-Site WaterC Enhancement'!AT41</f>
        <v>0</v>
      </c>
    </row>
    <row r="533" spans="1:22" x14ac:dyDescent="0.25">
      <c r="A533" s="757">
        <f>'D-3 Off-Site Habitat Enhancment'!AU44</f>
        <v>0</v>
      </c>
      <c r="M533" s="757">
        <f>'E-3 Off-Site Hedge Enhancement'!AO45</f>
        <v>0</v>
      </c>
      <c r="V533" s="1">
        <f>'F-3 Off-Site WaterC Enhancement'!AT42</f>
        <v>0</v>
      </c>
    </row>
    <row r="534" spans="1:22" x14ac:dyDescent="0.25">
      <c r="A534" s="757">
        <f>'D-3 Off-Site Habitat Enhancment'!AU45</f>
        <v>0</v>
      </c>
      <c r="M534" s="757">
        <f>'E-3 Off-Site Hedge Enhancement'!AO46</f>
        <v>0</v>
      </c>
      <c r="V534" s="1">
        <f>'F-3 Off-Site WaterC Enhancement'!AT43</f>
        <v>0</v>
      </c>
    </row>
    <row r="535" spans="1:22" x14ac:dyDescent="0.25">
      <c r="A535" s="757">
        <f>'D-3 Off-Site Habitat Enhancment'!AU46</f>
        <v>0</v>
      </c>
      <c r="M535" s="757">
        <f>'E-3 Off-Site Hedge Enhancement'!AO47</f>
        <v>0</v>
      </c>
      <c r="V535" s="1">
        <f>'F-3 Off-Site WaterC Enhancement'!AT44</f>
        <v>0</v>
      </c>
    </row>
    <row r="536" spans="1:22" x14ac:dyDescent="0.25">
      <c r="A536" s="757">
        <f>'D-3 Off-Site Habitat Enhancment'!AU47</f>
        <v>0</v>
      </c>
      <c r="M536" s="757">
        <f>'E-3 Off-Site Hedge Enhancement'!AO48</f>
        <v>0</v>
      </c>
      <c r="V536" s="1">
        <f>'F-3 Off-Site WaterC Enhancement'!AT45</f>
        <v>0</v>
      </c>
    </row>
    <row r="537" spans="1:22" x14ac:dyDescent="0.25">
      <c r="A537" s="757">
        <f>'D-3 Off-Site Habitat Enhancment'!AU48</f>
        <v>0</v>
      </c>
      <c r="M537" s="757">
        <f>'E-3 Off-Site Hedge Enhancement'!AO49</f>
        <v>0</v>
      </c>
      <c r="V537" s="1">
        <f>'F-3 Off-Site WaterC Enhancement'!AT46</f>
        <v>0</v>
      </c>
    </row>
    <row r="538" spans="1:22" x14ac:dyDescent="0.25">
      <c r="A538" s="757">
        <f>'D-3 Off-Site Habitat Enhancment'!AU49</f>
        <v>0</v>
      </c>
      <c r="M538" s="757">
        <f>'E-3 Off-Site Hedge Enhancement'!AO50</f>
        <v>0</v>
      </c>
      <c r="V538" s="1">
        <f>'F-3 Off-Site WaterC Enhancement'!AT47</f>
        <v>0</v>
      </c>
    </row>
    <row r="539" spans="1:22" x14ac:dyDescent="0.25">
      <c r="A539" s="757">
        <f>'D-3 Off-Site Habitat Enhancment'!AU50</f>
        <v>0</v>
      </c>
      <c r="M539" s="757">
        <f>'E-3 Off-Site Hedge Enhancement'!AO51</f>
        <v>0</v>
      </c>
      <c r="V539" s="1">
        <f>'F-3 Off-Site WaterC Enhancement'!AT48</f>
        <v>0</v>
      </c>
    </row>
    <row r="540" spans="1:22" x14ac:dyDescent="0.25">
      <c r="A540" s="757">
        <f>'D-3 Off-Site Habitat Enhancment'!AU51</f>
        <v>0</v>
      </c>
      <c r="M540" s="757">
        <f>'E-3 Off-Site Hedge Enhancement'!AO52</f>
        <v>0</v>
      </c>
      <c r="V540" s="1">
        <f>'F-3 Off-Site WaterC Enhancement'!AT49</f>
        <v>0</v>
      </c>
    </row>
    <row r="541" spans="1:22" x14ac:dyDescent="0.25">
      <c r="A541" s="757">
        <f>'D-3 Off-Site Habitat Enhancment'!AU52</f>
        <v>0</v>
      </c>
      <c r="M541" s="757">
        <f>'E-3 Off-Site Hedge Enhancement'!AO53</f>
        <v>0</v>
      </c>
      <c r="V541" s="1">
        <f>'F-3 Off-Site WaterC Enhancement'!AT50</f>
        <v>0</v>
      </c>
    </row>
    <row r="542" spans="1:22" x14ac:dyDescent="0.25">
      <c r="A542" s="757">
        <f>'D-3 Off-Site Habitat Enhancment'!AU53</f>
        <v>0</v>
      </c>
      <c r="M542" s="757">
        <f>'E-3 Off-Site Hedge Enhancement'!AO54</f>
        <v>0</v>
      </c>
      <c r="V542" s="1">
        <f>'F-3 Off-Site WaterC Enhancement'!AT51</f>
        <v>0</v>
      </c>
    </row>
    <row r="543" spans="1:22" x14ac:dyDescent="0.25">
      <c r="A543" s="757">
        <f>'D-3 Off-Site Habitat Enhancment'!AU54</f>
        <v>0</v>
      </c>
      <c r="M543" s="757">
        <f>'E-3 Off-Site Hedge Enhancement'!AO55</f>
        <v>0</v>
      </c>
      <c r="V543" s="1">
        <f>'F-3 Off-Site WaterC Enhancement'!AT52</f>
        <v>0</v>
      </c>
    </row>
    <row r="544" spans="1:22" x14ac:dyDescent="0.25">
      <c r="A544" s="757">
        <f>'D-3 Off-Site Habitat Enhancment'!AU55</f>
        <v>0</v>
      </c>
      <c r="M544" s="757">
        <f>'E-3 Off-Site Hedge Enhancement'!AO56</f>
        <v>0</v>
      </c>
      <c r="V544" s="1">
        <f>'F-3 Off-Site WaterC Enhancement'!AT53</f>
        <v>0</v>
      </c>
    </row>
    <row r="545" spans="1:22" x14ac:dyDescent="0.25">
      <c r="A545" s="757">
        <f>'D-3 Off-Site Habitat Enhancment'!AU56</f>
        <v>0</v>
      </c>
      <c r="M545" s="757">
        <f>'E-3 Off-Site Hedge Enhancement'!AO57</f>
        <v>0</v>
      </c>
      <c r="V545" s="1">
        <f>'F-3 Off-Site WaterC Enhancement'!AT54</f>
        <v>0</v>
      </c>
    </row>
    <row r="546" spans="1:22" x14ac:dyDescent="0.25">
      <c r="A546" s="757">
        <f>'D-3 Off-Site Habitat Enhancment'!AU57</f>
        <v>0</v>
      </c>
      <c r="M546" s="757">
        <f>'E-3 Off-Site Hedge Enhancement'!AO58</f>
        <v>0</v>
      </c>
      <c r="V546" s="1">
        <f>'F-3 Off-Site WaterC Enhancement'!AT55</f>
        <v>0</v>
      </c>
    </row>
    <row r="547" spans="1:22" x14ac:dyDescent="0.25">
      <c r="A547" s="757">
        <f>'D-3 Off-Site Habitat Enhancment'!AU58</f>
        <v>0</v>
      </c>
      <c r="M547" s="757">
        <f>'E-3 Off-Site Hedge Enhancement'!AO59</f>
        <v>0</v>
      </c>
      <c r="V547" s="1">
        <f>'F-3 Off-Site WaterC Enhancement'!AT56</f>
        <v>0</v>
      </c>
    </row>
    <row r="548" spans="1:22" x14ac:dyDescent="0.25">
      <c r="A548" s="757">
        <f>'D-3 Off-Site Habitat Enhancment'!AU59</f>
        <v>0</v>
      </c>
      <c r="M548" s="757">
        <f>'E-3 Off-Site Hedge Enhancement'!AO60</f>
        <v>0</v>
      </c>
      <c r="V548" s="1">
        <f>'F-3 Off-Site WaterC Enhancement'!AT57</f>
        <v>0</v>
      </c>
    </row>
    <row r="549" spans="1:22" x14ac:dyDescent="0.25">
      <c r="A549" s="757">
        <f>'D-3 Off-Site Habitat Enhancment'!AU60</f>
        <v>0</v>
      </c>
      <c r="M549" s="757">
        <f>'E-3 Off-Site Hedge Enhancement'!AO61</f>
        <v>0</v>
      </c>
      <c r="V549" s="1">
        <f>'F-3 Off-Site WaterC Enhancement'!AT58</f>
        <v>0</v>
      </c>
    </row>
    <row r="550" spans="1:22" x14ac:dyDescent="0.25">
      <c r="A550" s="757">
        <f>'D-3 Off-Site Habitat Enhancment'!AU61</f>
        <v>0</v>
      </c>
      <c r="M550" s="757">
        <f>'E-3 Off-Site Hedge Enhancement'!AO62</f>
        <v>0</v>
      </c>
      <c r="V550" s="1">
        <f>'F-3 Off-Site WaterC Enhancement'!AT59</f>
        <v>0</v>
      </c>
    </row>
    <row r="551" spans="1:22" x14ac:dyDescent="0.25">
      <c r="A551" s="757">
        <f>'D-3 Off-Site Habitat Enhancment'!AU62</f>
        <v>0</v>
      </c>
      <c r="M551" s="757">
        <f>'E-3 Off-Site Hedge Enhancement'!AO63</f>
        <v>0</v>
      </c>
      <c r="V551" s="1">
        <f>'F-3 Off-Site WaterC Enhancement'!AT60</f>
        <v>0</v>
      </c>
    </row>
    <row r="552" spans="1:22" x14ac:dyDescent="0.25">
      <c r="A552" s="757">
        <f>'D-3 Off-Site Habitat Enhancment'!AU63</f>
        <v>0</v>
      </c>
      <c r="M552" s="757">
        <f>'E-3 Off-Site Hedge Enhancement'!AO64</f>
        <v>0</v>
      </c>
      <c r="V552" s="1">
        <f>'F-3 Off-Site WaterC Enhancement'!AT61</f>
        <v>0</v>
      </c>
    </row>
    <row r="553" spans="1:22" x14ac:dyDescent="0.25">
      <c r="A553" s="757">
        <f>'D-3 Off-Site Habitat Enhancment'!AU64</f>
        <v>0</v>
      </c>
      <c r="M553" s="757">
        <f>'E-3 Off-Site Hedge Enhancement'!AO65</f>
        <v>0</v>
      </c>
      <c r="V553" s="1">
        <f>'F-3 Off-Site WaterC Enhancement'!AT62</f>
        <v>0</v>
      </c>
    </row>
    <row r="554" spans="1:22" x14ac:dyDescent="0.25">
      <c r="A554" s="757">
        <f>'D-3 Off-Site Habitat Enhancment'!AU65</f>
        <v>0</v>
      </c>
      <c r="M554" s="757">
        <f>'E-3 Off-Site Hedge Enhancement'!AO66</f>
        <v>0</v>
      </c>
      <c r="V554" s="1">
        <f>'F-3 Off-Site WaterC Enhancement'!AT63</f>
        <v>0</v>
      </c>
    </row>
    <row r="555" spans="1:22" x14ac:dyDescent="0.25">
      <c r="A555" s="757">
        <f>'D-3 Off-Site Habitat Enhancment'!AU66</f>
        <v>0</v>
      </c>
      <c r="M555" s="757">
        <f>'E-3 Off-Site Hedge Enhancement'!AO67</f>
        <v>0</v>
      </c>
      <c r="V555" s="1">
        <f>'F-3 Off-Site WaterC Enhancement'!AT64</f>
        <v>0</v>
      </c>
    </row>
    <row r="556" spans="1:22" x14ac:dyDescent="0.25">
      <c r="A556" s="757">
        <f>'D-3 Off-Site Habitat Enhancment'!AU67</f>
        <v>0</v>
      </c>
      <c r="M556" s="757">
        <f>'E-3 Off-Site Hedge Enhancement'!AO68</f>
        <v>0</v>
      </c>
      <c r="V556" s="1">
        <f>'F-3 Off-Site WaterC Enhancement'!AT65</f>
        <v>0</v>
      </c>
    </row>
    <row r="557" spans="1:22" x14ac:dyDescent="0.25">
      <c r="A557" s="757">
        <f>'D-3 Off-Site Habitat Enhancment'!AU68</f>
        <v>0</v>
      </c>
      <c r="M557" s="757">
        <f>'E-3 Off-Site Hedge Enhancement'!AO69</f>
        <v>0</v>
      </c>
      <c r="V557" s="1">
        <f>'F-3 Off-Site WaterC Enhancement'!AT66</f>
        <v>0</v>
      </c>
    </row>
    <row r="558" spans="1:22" x14ac:dyDescent="0.25">
      <c r="A558" s="757">
        <f>'D-3 Off-Site Habitat Enhancment'!AU69</f>
        <v>0</v>
      </c>
      <c r="M558" s="757">
        <f>'E-3 Off-Site Hedge Enhancement'!AO70</f>
        <v>0</v>
      </c>
      <c r="V558" s="1">
        <f>'F-3 Off-Site WaterC Enhancement'!AT67</f>
        <v>0</v>
      </c>
    </row>
    <row r="559" spans="1:22" x14ac:dyDescent="0.25">
      <c r="A559" s="757">
        <f>'D-3 Off-Site Habitat Enhancment'!AU70</f>
        <v>0</v>
      </c>
      <c r="M559" s="757">
        <f>'E-3 Off-Site Hedge Enhancement'!AO71</f>
        <v>0</v>
      </c>
      <c r="V559" s="1">
        <f>'F-3 Off-Site WaterC Enhancement'!AT68</f>
        <v>0</v>
      </c>
    </row>
    <row r="560" spans="1:22" x14ac:dyDescent="0.25">
      <c r="A560" s="757">
        <f>'D-3 Off-Site Habitat Enhancment'!AU71</f>
        <v>0</v>
      </c>
      <c r="M560" s="757">
        <f>'E-3 Off-Site Hedge Enhancement'!AO72</f>
        <v>0</v>
      </c>
      <c r="V560" s="1">
        <f>'F-3 Off-Site WaterC Enhancement'!AT69</f>
        <v>0</v>
      </c>
    </row>
    <row r="561" spans="1:22" x14ac:dyDescent="0.25">
      <c r="A561" s="757">
        <f>'D-3 Off-Site Habitat Enhancment'!AU72</f>
        <v>0</v>
      </c>
      <c r="M561" s="757">
        <f>'E-3 Off-Site Hedge Enhancement'!AO73</f>
        <v>0</v>
      </c>
      <c r="V561" s="1">
        <f>'F-3 Off-Site WaterC Enhancement'!AT70</f>
        <v>0</v>
      </c>
    </row>
    <row r="562" spans="1:22" x14ac:dyDescent="0.25">
      <c r="A562" s="757">
        <f>'D-3 Off-Site Habitat Enhancment'!AU73</f>
        <v>0</v>
      </c>
      <c r="M562" s="757">
        <f>'E-3 Off-Site Hedge Enhancement'!AO74</f>
        <v>0</v>
      </c>
      <c r="V562" s="1">
        <f>'F-3 Off-Site WaterC Enhancement'!AT71</f>
        <v>0</v>
      </c>
    </row>
    <row r="563" spans="1:22" x14ac:dyDescent="0.25">
      <c r="A563" s="757">
        <f>'D-3 Off-Site Habitat Enhancment'!AU74</f>
        <v>0</v>
      </c>
      <c r="M563" s="757">
        <f>'E-3 Off-Site Hedge Enhancement'!AO75</f>
        <v>0</v>
      </c>
      <c r="V563" s="1">
        <f>'F-3 Off-Site WaterC Enhancement'!AT72</f>
        <v>0</v>
      </c>
    </row>
    <row r="564" spans="1:22" x14ac:dyDescent="0.25">
      <c r="A564" s="757">
        <f>'D-3 Off-Site Habitat Enhancment'!AU75</f>
        <v>0</v>
      </c>
      <c r="M564" s="757">
        <f>'E-3 Off-Site Hedge Enhancement'!AO76</f>
        <v>0</v>
      </c>
      <c r="V564" s="1">
        <f>'F-3 Off-Site WaterC Enhancement'!AT73</f>
        <v>0</v>
      </c>
    </row>
    <row r="565" spans="1:22" x14ac:dyDescent="0.25">
      <c r="A565" s="757">
        <f>'D-3 Off-Site Habitat Enhancment'!AU76</f>
        <v>0</v>
      </c>
      <c r="M565" s="757">
        <f>'E-3 Off-Site Hedge Enhancement'!AO77</f>
        <v>0</v>
      </c>
      <c r="V565" s="1">
        <f>'F-3 Off-Site WaterC Enhancement'!AT74</f>
        <v>0</v>
      </c>
    </row>
    <row r="566" spans="1:22" x14ac:dyDescent="0.25">
      <c r="A566" s="757">
        <f>'D-3 Off-Site Habitat Enhancment'!AU77</f>
        <v>0</v>
      </c>
      <c r="M566" s="757">
        <f>'E-3 Off-Site Hedge Enhancement'!AO78</f>
        <v>0</v>
      </c>
      <c r="V566" s="1">
        <f>'F-3 Off-Site WaterC Enhancement'!AT75</f>
        <v>0</v>
      </c>
    </row>
    <row r="567" spans="1:22" x14ac:dyDescent="0.25">
      <c r="A567" s="757">
        <f>'D-3 Off-Site Habitat Enhancment'!AU78</f>
        <v>0</v>
      </c>
      <c r="M567" s="757">
        <f>'E-3 Off-Site Hedge Enhancement'!AO79</f>
        <v>0</v>
      </c>
      <c r="V567" s="1">
        <f>'F-3 Off-Site WaterC Enhancement'!AT76</f>
        <v>0</v>
      </c>
    </row>
    <row r="568" spans="1:22" x14ac:dyDescent="0.25">
      <c r="A568" s="757">
        <f>'D-3 Off-Site Habitat Enhancment'!AU79</f>
        <v>0</v>
      </c>
      <c r="M568" s="757">
        <f>'E-3 Off-Site Hedge Enhancement'!AO80</f>
        <v>0</v>
      </c>
      <c r="V568" s="1">
        <f>'F-3 Off-Site WaterC Enhancement'!AT77</f>
        <v>0</v>
      </c>
    </row>
    <row r="569" spans="1:22" x14ac:dyDescent="0.25">
      <c r="A569" s="757">
        <f>'D-3 Off-Site Habitat Enhancment'!AU80</f>
        <v>0</v>
      </c>
      <c r="M569" s="757">
        <f>'E-3 Off-Site Hedge Enhancement'!AO81</f>
        <v>0</v>
      </c>
      <c r="V569" s="1">
        <f>'F-3 Off-Site WaterC Enhancement'!AT78</f>
        <v>0</v>
      </c>
    </row>
    <row r="570" spans="1:22" x14ac:dyDescent="0.25">
      <c r="A570" s="757">
        <f>'D-3 Off-Site Habitat Enhancment'!AU81</f>
        <v>0</v>
      </c>
      <c r="M570" s="757">
        <f>'E-3 Off-Site Hedge Enhancement'!AO82</f>
        <v>0</v>
      </c>
      <c r="V570" s="1">
        <f>'F-3 Off-Site WaterC Enhancement'!AT79</f>
        <v>0</v>
      </c>
    </row>
    <row r="571" spans="1:22" x14ac:dyDescent="0.25">
      <c r="A571" s="757">
        <f>'D-3 Off-Site Habitat Enhancment'!AU82</f>
        <v>0</v>
      </c>
      <c r="M571" s="757">
        <f>'E-3 Off-Site Hedge Enhancement'!AO83</f>
        <v>0</v>
      </c>
      <c r="V571" s="1">
        <f>'F-3 Off-Site WaterC Enhancement'!AT80</f>
        <v>0</v>
      </c>
    </row>
    <row r="572" spans="1:22" x14ac:dyDescent="0.25">
      <c r="A572" s="757">
        <f>'D-3 Off-Site Habitat Enhancment'!AU83</f>
        <v>0</v>
      </c>
      <c r="M572" s="757">
        <f>'E-3 Off-Site Hedge Enhancement'!AO84</f>
        <v>0</v>
      </c>
      <c r="V572" s="1">
        <f>'F-3 Off-Site WaterC Enhancement'!AT81</f>
        <v>0</v>
      </c>
    </row>
    <row r="573" spans="1:22" x14ac:dyDescent="0.25">
      <c r="A573" s="757">
        <f>'D-3 Off-Site Habitat Enhancment'!AU84</f>
        <v>0</v>
      </c>
      <c r="M573" s="757">
        <f>'E-3 Off-Site Hedge Enhancement'!AO85</f>
        <v>0</v>
      </c>
      <c r="V573" s="1">
        <f>'F-3 Off-Site WaterC Enhancement'!AT82</f>
        <v>0</v>
      </c>
    </row>
    <row r="574" spans="1:22" x14ac:dyDescent="0.25">
      <c r="A574" s="757">
        <f>'D-3 Off-Site Habitat Enhancment'!AU85</f>
        <v>0</v>
      </c>
      <c r="M574" s="757">
        <f>'E-3 Off-Site Hedge Enhancement'!AO86</f>
        <v>0</v>
      </c>
      <c r="V574" s="1">
        <f>'F-3 Off-Site WaterC Enhancement'!AT83</f>
        <v>0</v>
      </c>
    </row>
    <row r="575" spans="1:22" x14ac:dyDescent="0.25">
      <c r="A575" s="757">
        <f>'D-3 Off-Site Habitat Enhancment'!AU86</f>
        <v>0</v>
      </c>
      <c r="M575" s="757">
        <f>'E-3 Off-Site Hedge Enhancement'!AO87</f>
        <v>0</v>
      </c>
      <c r="V575" s="1">
        <f>'F-3 Off-Site WaterC Enhancement'!AT84</f>
        <v>0</v>
      </c>
    </row>
    <row r="576" spans="1:22" x14ac:dyDescent="0.25">
      <c r="A576" s="757">
        <f>'D-3 Off-Site Habitat Enhancment'!AU87</f>
        <v>0</v>
      </c>
      <c r="M576" s="757">
        <f>'E-3 Off-Site Hedge Enhancement'!AO88</f>
        <v>0</v>
      </c>
      <c r="V576" s="1">
        <f>'F-3 Off-Site WaterC Enhancement'!AT85</f>
        <v>0</v>
      </c>
    </row>
    <row r="577" spans="1:22" x14ac:dyDescent="0.25">
      <c r="A577" s="757">
        <f>'D-3 Off-Site Habitat Enhancment'!AU88</f>
        <v>0</v>
      </c>
      <c r="M577" s="757">
        <f>'E-3 Off-Site Hedge Enhancement'!AO89</f>
        <v>0</v>
      </c>
      <c r="V577" s="1">
        <f>'F-3 Off-Site WaterC Enhancement'!AT86</f>
        <v>0</v>
      </c>
    </row>
    <row r="578" spans="1:22" x14ac:dyDescent="0.25">
      <c r="A578" s="757">
        <f>'D-3 Off-Site Habitat Enhancment'!AU89</f>
        <v>0</v>
      </c>
      <c r="M578" s="757">
        <f>'E-3 Off-Site Hedge Enhancement'!AO90</f>
        <v>0</v>
      </c>
      <c r="V578" s="1">
        <f>'F-3 Off-Site WaterC Enhancement'!AT87</f>
        <v>0</v>
      </c>
    </row>
    <row r="579" spans="1:22" x14ac:dyDescent="0.25">
      <c r="A579" s="757">
        <f>'D-3 Off-Site Habitat Enhancment'!AU90</f>
        <v>0</v>
      </c>
      <c r="M579" s="757">
        <f>'E-3 Off-Site Hedge Enhancement'!AO91</f>
        <v>0</v>
      </c>
      <c r="V579" s="1">
        <f>'F-3 Off-Site WaterC Enhancement'!AT88</f>
        <v>0</v>
      </c>
    </row>
    <row r="580" spans="1:22" x14ac:dyDescent="0.25">
      <c r="A580" s="757">
        <f>'D-3 Off-Site Habitat Enhancment'!AU91</f>
        <v>0</v>
      </c>
      <c r="M580" s="757">
        <f>'E-3 Off-Site Hedge Enhancement'!AO92</f>
        <v>0</v>
      </c>
      <c r="V580" s="1">
        <f>'F-3 Off-Site WaterC Enhancement'!AT89</f>
        <v>0</v>
      </c>
    </row>
    <row r="581" spans="1:22" x14ac:dyDescent="0.25">
      <c r="A581" s="757">
        <f>'D-3 Off-Site Habitat Enhancment'!AU92</f>
        <v>0</v>
      </c>
      <c r="M581" s="757">
        <f>'E-3 Off-Site Hedge Enhancement'!AO93</f>
        <v>0</v>
      </c>
      <c r="V581" s="1">
        <f>'F-3 Off-Site WaterC Enhancement'!AT90</f>
        <v>0</v>
      </c>
    </row>
    <row r="582" spans="1:22" x14ac:dyDescent="0.25">
      <c r="A582" s="757">
        <f>'D-3 Off-Site Habitat Enhancment'!AU93</f>
        <v>0</v>
      </c>
      <c r="M582" s="757">
        <f>'E-3 Off-Site Hedge Enhancement'!AO94</f>
        <v>0</v>
      </c>
      <c r="V582" s="1">
        <f>'F-3 Off-Site WaterC Enhancement'!AT91</f>
        <v>0</v>
      </c>
    </row>
    <row r="583" spans="1:22" x14ac:dyDescent="0.25">
      <c r="A583" s="757">
        <f>'D-3 Off-Site Habitat Enhancment'!AU94</f>
        <v>0</v>
      </c>
      <c r="M583" s="757">
        <f>'E-3 Off-Site Hedge Enhancement'!AO95</f>
        <v>0</v>
      </c>
      <c r="V583" s="1">
        <f>'F-3 Off-Site WaterC Enhancement'!AT92</f>
        <v>0</v>
      </c>
    </row>
    <row r="584" spans="1:22" x14ac:dyDescent="0.25">
      <c r="A584" s="757">
        <f>'D-3 Off-Site Habitat Enhancment'!AU95</f>
        <v>0</v>
      </c>
      <c r="M584" s="757">
        <f>'E-3 Off-Site Hedge Enhancement'!AO96</f>
        <v>0</v>
      </c>
      <c r="V584" s="1">
        <f>'F-3 Off-Site WaterC Enhancement'!AT93</f>
        <v>0</v>
      </c>
    </row>
    <row r="585" spans="1:22" x14ac:dyDescent="0.25">
      <c r="A585" s="757">
        <f>'D-3 Off-Site Habitat Enhancment'!AU96</f>
        <v>0</v>
      </c>
      <c r="M585" s="757">
        <f>'E-3 Off-Site Hedge Enhancement'!AO97</f>
        <v>0</v>
      </c>
      <c r="V585" s="1">
        <f>'F-3 Off-Site WaterC Enhancement'!AT94</f>
        <v>0</v>
      </c>
    </row>
    <row r="586" spans="1:22" x14ac:dyDescent="0.25">
      <c r="A586" s="757">
        <f>'D-3 Off-Site Habitat Enhancment'!AU97</f>
        <v>0</v>
      </c>
      <c r="M586" s="757">
        <f>'E-3 Off-Site Hedge Enhancement'!AO98</f>
        <v>0</v>
      </c>
      <c r="V586" s="1">
        <f>'F-3 Off-Site WaterC Enhancement'!AT95</f>
        <v>0</v>
      </c>
    </row>
    <row r="587" spans="1:22" x14ac:dyDescent="0.25">
      <c r="A587" s="757">
        <f>'D-3 Off-Site Habitat Enhancment'!AU98</f>
        <v>0</v>
      </c>
      <c r="M587" s="757">
        <f>'E-3 Off-Site Hedge Enhancement'!AO99</f>
        <v>0</v>
      </c>
      <c r="V587" s="1">
        <f>'F-3 Off-Site WaterC Enhancement'!AT96</f>
        <v>0</v>
      </c>
    </row>
    <row r="588" spans="1:22" x14ac:dyDescent="0.25">
      <c r="A588" s="757">
        <f>'D-3 Off-Site Habitat Enhancment'!AU99</f>
        <v>0</v>
      </c>
      <c r="M588" s="757">
        <f>'E-3 Off-Site Hedge Enhancement'!AO100</f>
        <v>0</v>
      </c>
      <c r="V588" s="1">
        <f>'F-3 Off-Site WaterC Enhancement'!AT97</f>
        <v>0</v>
      </c>
    </row>
    <row r="589" spans="1:22" x14ac:dyDescent="0.25">
      <c r="A589" s="757">
        <f>'D-3 Off-Site Habitat Enhancment'!AU100</f>
        <v>0</v>
      </c>
      <c r="M589" s="757">
        <f>'E-3 Off-Site Hedge Enhancement'!AO101</f>
        <v>0</v>
      </c>
      <c r="V589" s="1">
        <f>'F-3 Off-Site WaterC Enhancement'!AT98</f>
        <v>0</v>
      </c>
    </row>
    <row r="590" spans="1:22" x14ac:dyDescent="0.25">
      <c r="A590" s="757">
        <f>'D-3 Off-Site Habitat Enhancment'!AU101</f>
        <v>0</v>
      </c>
      <c r="M590" s="757">
        <f>'E-3 Off-Site Hedge Enhancement'!AO102</f>
        <v>0</v>
      </c>
      <c r="V590" s="1">
        <f>'F-3 Off-Site WaterC Enhancement'!AT99</f>
        <v>0</v>
      </c>
    </row>
    <row r="591" spans="1:22" x14ac:dyDescent="0.25">
      <c r="A591" s="757">
        <f>'D-3 Off-Site Habitat Enhancment'!AU102</f>
        <v>0</v>
      </c>
      <c r="M591" s="757">
        <f>'E-3 Off-Site Hedge Enhancement'!AO103</f>
        <v>0</v>
      </c>
      <c r="V591" s="1">
        <f>'F-3 Off-Site WaterC Enhancement'!AT100</f>
        <v>0</v>
      </c>
    </row>
    <row r="592" spans="1:22" x14ac:dyDescent="0.25">
      <c r="A592" s="757">
        <f>'D-3 Off-Site Habitat Enhancment'!AU103</f>
        <v>0</v>
      </c>
      <c r="M592" s="757">
        <f>'E-3 Off-Site Hedge Enhancement'!AO104</f>
        <v>0</v>
      </c>
      <c r="V592" s="1">
        <f>'F-3 Off-Site WaterC Enhancement'!AT101</f>
        <v>0</v>
      </c>
    </row>
    <row r="593" spans="1:22" x14ac:dyDescent="0.25">
      <c r="A593" s="757">
        <f>'D-3 Off-Site Habitat Enhancment'!AU104</f>
        <v>0</v>
      </c>
      <c r="M593" s="757">
        <f>'E-3 Off-Site Hedge Enhancement'!AO105</f>
        <v>0</v>
      </c>
      <c r="V593" s="1">
        <f>'F-3 Off-Site WaterC Enhancement'!AT102</f>
        <v>0</v>
      </c>
    </row>
    <row r="594" spans="1:22" x14ac:dyDescent="0.25">
      <c r="A594" s="757">
        <f>'D-3 Off-Site Habitat Enhancment'!AU105</f>
        <v>0</v>
      </c>
      <c r="M594" s="757">
        <f>'E-3 Off-Site Hedge Enhancement'!AO106</f>
        <v>0</v>
      </c>
      <c r="V594" s="1">
        <f>'F-3 Off-Site WaterC Enhancement'!AT103</f>
        <v>0</v>
      </c>
    </row>
    <row r="595" spans="1:22" x14ac:dyDescent="0.25">
      <c r="A595" s="757">
        <f>'D-3 Off-Site Habitat Enhancment'!AU106</f>
        <v>0</v>
      </c>
      <c r="M595" s="757">
        <f>'E-3 Off-Site Hedge Enhancement'!AO107</f>
        <v>0</v>
      </c>
      <c r="V595" s="1">
        <f>'F-3 Off-Site WaterC Enhancement'!AT104</f>
        <v>0</v>
      </c>
    </row>
    <row r="596" spans="1:22" x14ac:dyDescent="0.25">
      <c r="A596" s="757">
        <f>'D-3 Off-Site Habitat Enhancment'!AU107</f>
        <v>0</v>
      </c>
      <c r="M596" s="757">
        <f>'E-3 Off-Site Hedge Enhancement'!AO108</f>
        <v>0</v>
      </c>
      <c r="V596" s="1">
        <f>'F-3 Off-Site WaterC Enhancement'!AT105</f>
        <v>0</v>
      </c>
    </row>
    <row r="597" spans="1:22" x14ac:dyDescent="0.25">
      <c r="A597" s="757">
        <f>'D-3 Off-Site Habitat Enhancment'!AU108</f>
        <v>0</v>
      </c>
      <c r="M597" s="757">
        <f>'E-3 Off-Site Hedge Enhancement'!AO109</f>
        <v>0</v>
      </c>
      <c r="V597" s="1">
        <f>'F-3 Off-Site WaterC Enhancement'!AT106</f>
        <v>0</v>
      </c>
    </row>
    <row r="598" spans="1:22" x14ac:dyDescent="0.25">
      <c r="A598" s="757">
        <f>'D-3 Off-Site Habitat Enhancment'!AU109</f>
        <v>0</v>
      </c>
      <c r="M598" s="757">
        <f>'E-3 Off-Site Hedge Enhancement'!AO110</f>
        <v>0</v>
      </c>
      <c r="V598" s="1">
        <f>'F-3 Off-Site WaterC Enhancement'!AT107</f>
        <v>0</v>
      </c>
    </row>
    <row r="599" spans="1:22" x14ac:dyDescent="0.25">
      <c r="A599" s="757">
        <f>'D-3 Off-Site Habitat Enhancment'!AU110</f>
        <v>0</v>
      </c>
      <c r="M599" s="757">
        <f>'E-3 Off-Site Hedge Enhancement'!AO111</f>
        <v>0</v>
      </c>
      <c r="V599" s="1">
        <f>'F-3 Off-Site WaterC Enhancement'!AT108</f>
        <v>0</v>
      </c>
    </row>
    <row r="600" spans="1:22" x14ac:dyDescent="0.25">
      <c r="A600" s="757">
        <f>'D-3 Off-Site Habitat Enhancment'!AU111</f>
        <v>0</v>
      </c>
      <c r="M600" s="757">
        <f>'E-3 Off-Site Hedge Enhancement'!AO112</f>
        <v>0</v>
      </c>
      <c r="V600" s="1">
        <f>'F-3 Off-Site WaterC Enhancement'!AT109</f>
        <v>0</v>
      </c>
    </row>
    <row r="601" spans="1:22" x14ac:dyDescent="0.25">
      <c r="A601" s="757">
        <f>'D-3 Off-Site Habitat Enhancment'!AU112</f>
        <v>0</v>
      </c>
      <c r="M601" s="757">
        <f>'E-3 Off-Site Hedge Enhancement'!AO113</f>
        <v>0</v>
      </c>
      <c r="V601" s="1">
        <f>'F-3 Off-Site WaterC Enhancement'!AT110</f>
        <v>0</v>
      </c>
    </row>
    <row r="602" spans="1:22" x14ac:dyDescent="0.25">
      <c r="A602" s="757">
        <f>'D-3 Off-Site Habitat Enhancment'!AU113</f>
        <v>0</v>
      </c>
      <c r="M602" s="757">
        <f>'E-3 Off-Site Hedge Enhancement'!AO114</f>
        <v>0</v>
      </c>
      <c r="V602" s="1">
        <f>'F-3 Off-Site WaterC Enhancement'!AT111</f>
        <v>0</v>
      </c>
    </row>
    <row r="603" spans="1:22" x14ac:dyDescent="0.25">
      <c r="A603" s="757">
        <f>'D-3 Off-Site Habitat Enhancment'!AU114</f>
        <v>0</v>
      </c>
      <c r="M603" s="757">
        <f>'E-3 Off-Site Hedge Enhancement'!AO115</f>
        <v>0</v>
      </c>
      <c r="V603" s="1">
        <f>'F-3 Off-Site WaterC Enhancement'!AT112</f>
        <v>0</v>
      </c>
    </row>
    <row r="604" spans="1:22" x14ac:dyDescent="0.25">
      <c r="A604" s="757">
        <f>'D-3 Off-Site Habitat Enhancment'!AU115</f>
        <v>0</v>
      </c>
      <c r="M604" s="757">
        <f>'E-3 Off-Site Hedge Enhancement'!AO116</f>
        <v>0</v>
      </c>
      <c r="V604" s="1">
        <f>'F-3 Off-Site WaterC Enhancement'!AT113</f>
        <v>0</v>
      </c>
    </row>
    <row r="605" spans="1:22" x14ac:dyDescent="0.25">
      <c r="A605" s="757">
        <f>'D-3 Off-Site Habitat Enhancment'!AU116</f>
        <v>0</v>
      </c>
      <c r="M605" s="757">
        <f>'E-3 Off-Site Hedge Enhancement'!AO117</f>
        <v>0</v>
      </c>
      <c r="V605" s="1">
        <f>'F-3 Off-Site WaterC Enhancement'!AT114</f>
        <v>0</v>
      </c>
    </row>
    <row r="606" spans="1:22" x14ac:dyDescent="0.25">
      <c r="A606" s="757">
        <f>'D-3 Off-Site Habitat Enhancment'!AU117</f>
        <v>0</v>
      </c>
      <c r="M606" s="757">
        <f>'E-3 Off-Site Hedge Enhancement'!AO118</f>
        <v>0</v>
      </c>
      <c r="V606" s="1">
        <f>'F-3 Off-Site WaterC Enhancement'!AT115</f>
        <v>0</v>
      </c>
    </row>
    <row r="607" spans="1:22" x14ac:dyDescent="0.25">
      <c r="A607" s="757">
        <f>'D-3 Off-Site Habitat Enhancment'!AU118</f>
        <v>0</v>
      </c>
      <c r="M607" s="757">
        <f>'E-3 Off-Site Hedge Enhancement'!AO119</f>
        <v>0</v>
      </c>
      <c r="V607" s="1">
        <f>'F-3 Off-Site WaterC Enhancement'!AT116</f>
        <v>0</v>
      </c>
    </row>
    <row r="608" spans="1:22" x14ac:dyDescent="0.25">
      <c r="A608" s="757">
        <f>'D-3 Off-Site Habitat Enhancment'!AU119</f>
        <v>0</v>
      </c>
      <c r="M608" s="757">
        <f>'E-3 Off-Site Hedge Enhancement'!AO120</f>
        <v>0</v>
      </c>
      <c r="V608" s="1">
        <f>'F-3 Off-Site WaterC Enhancement'!AT117</f>
        <v>0</v>
      </c>
    </row>
    <row r="609" spans="1:22" x14ac:dyDescent="0.25">
      <c r="A609" s="757">
        <f>'D-3 Off-Site Habitat Enhancment'!AU120</f>
        <v>0</v>
      </c>
      <c r="M609" s="757">
        <f>'E-3 Off-Site Hedge Enhancement'!AO121</f>
        <v>0</v>
      </c>
      <c r="V609" s="1">
        <f>'F-3 Off-Site WaterC Enhancement'!AT118</f>
        <v>0</v>
      </c>
    </row>
    <row r="610" spans="1:22" x14ac:dyDescent="0.25">
      <c r="A610" s="757">
        <f>'D-3 Off-Site Habitat Enhancment'!AU121</f>
        <v>0</v>
      </c>
      <c r="M610" s="757">
        <f>'E-3 Off-Site Hedge Enhancement'!AO122</f>
        <v>0</v>
      </c>
      <c r="V610" s="1">
        <f>'F-3 Off-Site WaterC Enhancement'!AT119</f>
        <v>0</v>
      </c>
    </row>
    <row r="611" spans="1:22" x14ac:dyDescent="0.25">
      <c r="A611" s="757">
        <f>'D-3 Off-Site Habitat Enhancment'!AU122</f>
        <v>0</v>
      </c>
      <c r="M611" s="757">
        <f>'E-3 Off-Site Hedge Enhancement'!AO123</f>
        <v>0</v>
      </c>
      <c r="V611" s="1">
        <f>'F-3 Off-Site WaterC Enhancement'!AT120</f>
        <v>0</v>
      </c>
    </row>
    <row r="612" spans="1:22" x14ac:dyDescent="0.25">
      <c r="A612" s="757">
        <f>'D-3 Off-Site Habitat Enhancment'!AU123</f>
        <v>0</v>
      </c>
      <c r="M612" s="757">
        <f>'E-3 Off-Site Hedge Enhancement'!AO124</f>
        <v>0</v>
      </c>
      <c r="V612" s="1">
        <f>'F-3 Off-Site WaterC Enhancement'!AT121</f>
        <v>0</v>
      </c>
    </row>
    <row r="613" spans="1:22" x14ac:dyDescent="0.25">
      <c r="A613" s="757">
        <f>'D-3 Off-Site Habitat Enhancment'!AU124</f>
        <v>0</v>
      </c>
      <c r="M613" s="757">
        <f>'E-3 Off-Site Hedge Enhancement'!AO125</f>
        <v>0</v>
      </c>
      <c r="V613" s="1">
        <f>'F-3 Off-Site WaterC Enhancement'!AT122</f>
        <v>0</v>
      </c>
    </row>
    <row r="614" spans="1:22" x14ac:dyDescent="0.25">
      <c r="A614" s="757">
        <f>'D-3 Off-Site Habitat Enhancment'!AU125</f>
        <v>0</v>
      </c>
      <c r="M614" s="757">
        <f>'E-3 Off-Site Hedge Enhancement'!AO126</f>
        <v>0</v>
      </c>
      <c r="V614" s="1">
        <f>'F-3 Off-Site WaterC Enhancement'!AT123</f>
        <v>0</v>
      </c>
    </row>
    <row r="615" spans="1:22" x14ac:dyDescent="0.25">
      <c r="A615" s="757">
        <f>'D-3 Off-Site Habitat Enhancment'!AU126</f>
        <v>0</v>
      </c>
      <c r="M615" s="757">
        <f>'E-3 Off-Site Hedge Enhancement'!AO127</f>
        <v>0</v>
      </c>
      <c r="V615" s="1">
        <f>'F-3 Off-Site WaterC Enhancement'!AT124</f>
        <v>0</v>
      </c>
    </row>
    <row r="616" spans="1:22" x14ac:dyDescent="0.25">
      <c r="A616" s="757">
        <f>'D-3 Off-Site Habitat Enhancment'!AU127</f>
        <v>0</v>
      </c>
      <c r="M616" s="757">
        <f>'E-3 Off-Site Hedge Enhancement'!AO128</f>
        <v>0</v>
      </c>
      <c r="V616" s="1">
        <f>'F-3 Off-Site WaterC Enhancement'!AT125</f>
        <v>0</v>
      </c>
    </row>
    <row r="617" spans="1:22" x14ac:dyDescent="0.25">
      <c r="A617" s="757">
        <f>'D-3 Off-Site Habitat Enhancment'!AU128</f>
        <v>0</v>
      </c>
      <c r="M617" s="757">
        <f>'E-3 Off-Site Hedge Enhancement'!AO129</f>
        <v>0</v>
      </c>
      <c r="V617" s="1">
        <f>'F-3 Off-Site WaterC Enhancement'!AT126</f>
        <v>0</v>
      </c>
    </row>
    <row r="618" spans="1:22" x14ac:dyDescent="0.25">
      <c r="A618" s="757">
        <f>'D-3 Off-Site Habitat Enhancment'!AU129</f>
        <v>0</v>
      </c>
      <c r="M618" s="757">
        <f>'E-3 Off-Site Hedge Enhancement'!AO130</f>
        <v>0</v>
      </c>
      <c r="V618" s="1">
        <f>'F-3 Off-Site WaterC Enhancement'!AT127</f>
        <v>0</v>
      </c>
    </row>
    <row r="619" spans="1:22" x14ac:dyDescent="0.25">
      <c r="A619" s="757">
        <f>'D-3 Off-Site Habitat Enhancment'!AU130</f>
        <v>0</v>
      </c>
      <c r="M619" s="757">
        <f>'E-3 Off-Site Hedge Enhancement'!AO131</f>
        <v>0</v>
      </c>
      <c r="V619" s="1">
        <f>'F-3 Off-Site WaterC Enhancement'!AT128</f>
        <v>0</v>
      </c>
    </row>
    <row r="620" spans="1:22" x14ac:dyDescent="0.25">
      <c r="A620" s="757">
        <f>'D-3 Off-Site Habitat Enhancment'!AU131</f>
        <v>0</v>
      </c>
      <c r="M620" s="757">
        <f>'E-3 Off-Site Hedge Enhancement'!AO132</f>
        <v>0</v>
      </c>
      <c r="V620" s="1">
        <f>'F-3 Off-Site WaterC Enhancement'!AT129</f>
        <v>0</v>
      </c>
    </row>
    <row r="621" spans="1:22" x14ac:dyDescent="0.25">
      <c r="A621" s="757">
        <f>'D-3 Off-Site Habitat Enhancment'!AU132</f>
        <v>0</v>
      </c>
      <c r="M621" s="757">
        <f>'E-3 Off-Site Hedge Enhancement'!AO133</f>
        <v>0</v>
      </c>
      <c r="V621" s="1">
        <f>'F-3 Off-Site WaterC Enhancement'!AT130</f>
        <v>0</v>
      </c>
    </row>
    <row r="622" spans="1:22" x14ac:dyDescent="0.25">
      <c r="A622" s="757">
        <f>'D-3 Off-Site Habitat Enhancment'!AU133</f>
        <v>0</v>
      </c>
      <c r="M622" s="757">
        <f>'E-3 Off-Site Hedge Enhancement'!AO134</f>
        <v>0</v>
      </c>
      <c r="V622" s="1">
        <f>'F-3 Off-Site WaterC Enhancement'!AT131</f>
        <v>0</v>
      </c>
    </row>
    <row r="623" spans="1:22" x14ac:dyDescent="0.25">
      <c r="A623" s="757">
        <f>'D-3 Off-Site Habitat Enhancment'!AU134</f>
        <v>0</v>
      </c>
      <c r="M623" s="757">
        <f>'E-3 Off-Site Hedge Enhancement'!AO135</f>
        <v>0</v>
      </c>
      <c r="V623" s="1">
        <f>'F-3 Off-Site WaterC Enhancement'!AT132</f>
        <v>0</v>
      </c>
    </row>
    <row r="624" spans="1:22" x14ac:dyDescent="0.25">
      <c r="A624" s="757">
        <f>'D-3 Off-Site Habitat Enhancment'!AU135</f>
        <v>0</v>
      </c>
      <c r="M624" s="757">
        <f>'E-3 Off-Site Hedge Enhancement'!AO136</f>
        <v>0</v>
      </c>
      <c r="V624" s="1">
        <f>'F-3 Off-Site WaterC Enhancement'!AT133</f>
        <v>0</v>
      </c>
    </row>
    <row r="625" spans="1:22" x14ac:dyDescent="0.25">
      <c r="A625" s="757">
        <f>'D-3 Off-Site Habitat Enhancment'!AU136</f>
        <v>0</v>
      </c>
      <c r="M625" s="757">
        <f>'E-3 Off-Site Hedge Enhancement'!AO137</f>
        <v>0</v>
      </c>
      <c r="V625" s="1">
        <f>'F-3 Off-Site WaterC Enhancement'!AT134</f>
        <v>0</v>
      </c>
    </row>
    <row r="626" spans="1:22" x14ac:dyDescent="0.25">
      <c r="A626" s="757">
        <f>'D-3 Off-Site Habitat Enhancment'!AU137</f>
        <v>0</v>
      </c>
      <c r="M626" s="757">
        <f>'E-3 Off-Site Hedge Enhancement'!AO138</f>
        <v>0</v>
      </c>
      <c r="V626" s="1">
        <f>'F-3 Off-Site WaterC Enhancement'!AT135</f>
        <v>0</v>
      </c>
    </row>
    <row r="627" spans="1:22" x14ac:dyDescent="0.25">
      <c r="A627" s="757">
        <f>'D-3 Off-Site Habitat Enhancment'!AU138</f>
        <v>0</v>
      </c>
      <c r="M627" s="757">
        <f>'E-3 Off-Site Hedge Enhancement'!AO139</f>
        <v>0</v>
      </c>
      <c r="V627" s="1">
        <f>'F-3 Off-Site WaterC Enhancement'!AT136</f>
        <v>0</v>
      </c>
    </row>
    <row r="628" spans="1:22" x14ac:dyDescent="0.25">
      <c r="A628" s="757">
        <f>'D-3 Off-Site Habitat Enhancment'!AU139</f>
        <v>0</v>
      </c>
      <c r="M628" s="757">
        <f>'E-3 Off-Site Hedge Enhancement'!AO140</f>
        <v>0</v>
      </c>
      <c r="V628" s="1">
        <f>'F-3 Off-Site WaterC Enhancement'!AT137</f>
        <v>0</v>
      </c>
    </row>
    <row r="629" spans="1:22" x14ac:dyDescent="0.25">
      <c r="A629" s="757">
        <f>'D-3 Off-Site Habitat Enhancment'!AU140</f>
        <v>0</v>
      </c>
      <c r="M629" s="757">
        <f>'E-3 Off-Site Hedge Enhancement'!AO141</f>
        <v>0</v>
      </c>
      <c r="V629" s="1">
        <f>'F-3 Off-Site WaterC Enhancement'!AT138</f>
        <v>0</v>
      </c>
    </row>
    <row r="630" spans="1:22" x14ac:dyDescent="0.25">
      <c r="A630" s="757">
        <f>'D-3 Off-Site Habitat Enhancment'!AU141</f>
        <v>0</v>
      </c>
      <c r="M630" s="757">
        <f>'E-3 Off-Site Hedge Enhancement'!AO142</f>
        <v>0</v>
      </c>
      <c r="V630" s="1">
        <f>'F-3 Off-Site WaterC Enhancement'!AT139</f>
        <v>0</v>
      </c>
    </row>
    <row r="631" spans="1:22" x14ac:dyDescent="0.25">
      <c r="A631" s="757">
        <f>'D-3 Off-Site Habitat Enhancment'!AU142</f>
        <v>0</v>
      </c>
      <c r="M631" s="757">
        <f>'E-3 Off-Site Hedge Enhancement'!AO143</f>
        <v>0</v>
      </c>
      <c r="V631" s="1">
        <f>'F-3 Off-Site WaterC Enhancement'!AT140</f>
        <v>0</v>
      </c>
    </row>
    <row r="632" spans="1:22" x14ac:dyDescent="0.25">
      <c r="A632" s="757">
        <f>'D-3 Off-Site Habitat Enhancment'!AU143</f>
        <v>0</v>
      </c>
      <c r="M632" s="757">
        <f>'E-3 Off-Site Hedge Enhancement'!AO144</f>
        <v>0</v>
      </c>
      <c r="V632" s="1">
        <f>'F-3 Off-Site WaterC Enhancement'!AT141</f>
        <v>0</v>
      </c>
    </row>
    <row r="633" spans="1:22" x14ac:dyDescent="0.25">
      <c r="A633" s="757">
        <f>'D-3 Off-Site Habitat Enhancment'!AU144</f>
        <v>0</v>
      </c>
      <c r="M633" s="757">
        <f>'E-3 Off-Site Hedge Enhancement'!AO145</f>
        <v>0</v>
      </c>
      <c r="V633" s="1">
        <f>'F-3 Off-Site WaterC Enhancement'!AT142</f>
        <v>0</v>
      </c>
    </row>
    <row r="634" spans="1:22" x14ac:dyDescent="0.25">
      <c r="A634" s="757">
        <f>'D-3 Off-Site Habitat Enhancment'!AU145</f>
        <v>0</v>
      </c>
      <c r="M634" s="757">
        <f>'E-3 Off-Site Hedge Enhancement'!AO146</f>
        <v>0</v>
      </c>
      <c r="V634" s="1">
        <f>'F-3 Off-Site WaterC Enhancement'!AT143</f>
        <v>0</v>
      </c>
    </row>
    <row r="635" spans="1:22" x14ac:dyDescent="0.25">
      <c r="A635" s="757">
        <f>'D-3 Off-Site Habitat Enhancment'!AU146</f>
        <v>0</v>
      </c>
      <c r="M635" s="757">
        <f>'E-3 Off-Site Hedge Enhancement'!AO147</f>
        <v>0</v>
      </c>
      <c r="V635" s="1">
        <f>'F-3 Off-Site WaterC Enhancement'!AT144</f>
        <v>0</v>
      </c>
    </row>
    <row r="636" spans="1:22" x14ac:dyDescent="0.25">
      <c r="A636" s="757">
        <f>'D-3 Off-Site Habitat Enhancment'!AU147</f>
        <v>0</v>
      </c>
      <c r="M636" s="757">
        <f>'E-3 Off-Site Hedge Enhancement'!AO148</f>
        <v>0</v>
      </c>
      <c r="V636" s="1">
        <f>'F-3 Off-Site WaterC Enhancement'!AT145</f>
        <v>0</v>
      </c>
    </row>
    <row r="637" spans="1:22" x14ac:dyDescent="0.25">
      <c r="A637" s="757">
        <f>'D-3 Off-Site Habitat Enhancment'!AU148</f>
        <v>0</v>
      </c>
      <c r="M637" s="757">
        <f>'E-3 Off-Site Hedge Enhancement'!AO149</f>
        <v>0</v>
      </c>
      <c r="V637" s="1">
        <f>'F-3 Off-Site WaterC Enhancement'!AT146</f>
        <v>0</v>
      </c>
    </row>
    <row r="638" spans="1:22" x14ac:dyDescent="0.25">
      <c r="A638" s="757">
        <f>'D-3 Off-Site Habitat Enhancment'!AU149</f>
        <v>0</v>
      </c>
      <c r="M638" s="757">
        <f>'E-3 Off-Site Hedge Enhancement'!AO150</f>
        <v>0</v>
      </c>
      <c r="V638" s="1">
        <f>'F-3 Off-Site WaterC Enhancement'!AT147</f>
        <v>0</v>
      </c>
    </row>
    <row r="639" spans="1:22" x14ac:dyDescent="0.25">
      <c r="A639" s="757">
        <f>'D-3 Off-Site Habitat Enhancment'!AU150</f>
        <v>0</v>
      </c>
      <c r="M639" s="757">
        <f>'E-3 Off-Site Hedge Enhancement'!AO151</f>
        <v>0</v>
      </c>
      <c r="V639" s="1">
        <f>'F-3 Off-Site WaterC Enhancement'!AT148</f>
        <v>0</v>
      </c>
    </row>
    <row r="640" spans="1:22" x14ac:dyDescent="0.25">
      <c r="A640" s="757">
        <f>'D-3 Off-Site Habitat Enhancment'!AU151</f>
        <v>0</v>
      </c>
      <c r="M640" s="757">
        <f>'E-3 Off-Site Hedge Enhancement'!AO152</f>
        <v>0</v>
      </c>
      <c r="V640" s="1">
        <f>'F-3 Off-Site WaterC Enhancement'!AT149</f>
        <v>0</v>
      </c>
    </row>
    <row r="641" spans="1:22" x14ac:dyDescent="0.25">
      <c r="A641" s="757">
        <f>'D-3 Off-Site Habitat Enhancment'!AU152</f>
        <v>0</v>
      </c>
      <c r="M641" s="757">
        <f>'E-3 Off-Site Hedge Enhancement'!AO153</f>
        <v>0</v>
      </c>
      <c r="V641" s="1">
        <f>'F-3 Off-Site WaterC Enhancement'!AT150</f>
        <v>0</v>
      </c>
    </row>
    <row r="642" spans="1:22" x14ac:dyDescent="0.25">
      <c r="A642" s="757">
        <f>'D-3 Off-Site Habitat Enhancment'!AU153</f>
        <v>0</v>
      </c>
      <c r="M642" s="757">
        <f>'E-3 Off-Site Hedge Enhancement'!AO154</f>
        <v>0</v>
      </c>
      <c r="V642" s="1">
        <f>'F-3 Off-Site WaterC Enhancement'!AT151</f>
        <v>0</v>
      </c>
    </row>
    <row r="643" spans="1:22" x14ac:dyDescent="0.25">
      <c r="A643" s="757">
        <f>'D-3 Off-Site Habitat Enhancment'!AU154</f>
        <v>0</v>
      </c>
      <c r="M643" s="757">
        <f>'E-3 Off-Site Hedge Enhancement'!AO155</f>
        <v>0</v>
      </c>
      <c r="V643" s="1">
        <f>'F-3 Off-Site WaterC Enhancement'!AT152</f>
        <v>0</v>
      </c>
    </row>
    <row r="644" spans="1:22" x14ac:dyDescent="0.25">
      <c r="A644" s="757">
        <f>'D-3 Off-Site Habitat Enhancment'!AU155</f>
        <v>0</v>
      </c>
      <c r="M644" s="757">
        <f>'E-3 Off-Site Hedge Enhancement'!AO156</f>
        <v>0</v>
      </c>
      <c r="V644" s="1">
        <f>'F-3 Off-Site WaterC Enhancement'!AT153</f>
        <v>0</v>
      </c>
    </row>
    <row r="645" spans="1:22" x14ac:dyDescent="0.25">
      <c r="A645" s="757">
        <f>'D-3 Off-Site Habitat Enhancment'!AU156</f>
        <v>0</v>
      </c>
      <c r="M645" s="757">
        <f>'E-3 Off-Site Hedge Enhancement'!AO157</f>
        <v>0</v>
      </c>
      <c r="V645" s="1">
        <f>'F-3 Off-Site WaterC Enhancement'!AT154</f>
        <v>0</v>
      </c>
    </row>
    <row r="646" spans="1:22" x14ac:dyDescent="0.25">
      <c r="A646" s="757">
        <f>'D-3 Off-Site Habitat Enhancment'!AU157</f>
        <v>0</v>
      </c>
      <c r="M646" s="757">
        <f>'E-3 Off-Site Hedge Enhancement'!AO158</f>
        <v>0</v>
      </c>
      <c r="V646" s="1">
        <f>'F-3 Off-Site WaterC Enhancement'!AT155</f>
        <v>0</v>
      </c>
    </row>
    <row r="647" spans="1:22" x14ac:dyDescent="0.25">
      <c r="A647" s="757">
        <f>'D-3 Off-Site Habitat Enhancment'!AU158</f>
        <v>0</v>
      </c>
      <c r="M647" s="757">
        <f>'E-3 Off-Site Hedge Enhancement'!AO159</f>
        <v>0</v>
      </c>
      <c r="V647" s="1">
        <f>'F-3 Off-Site WaterC Enhancement'!AT156</f>
        <v>0</v>
      </c>
    </row>
    <row r="648" spans="1:22" x14ac:dyDescent="0.25">
      <c r="A648" s="757">
        <f>'D-3 Off-Site Habitat Enhancment'!AU159</f>
        <v>0</v>
      </c>
      <c r="M648" s="757">
        <f>'E-3 Off-Site Hedge Enhancement'!AO160</f>
        <v>0</v>
      </c>
      <c r="V648" s="1">
        <f>'F-3 Off-Site WaterC Enhancement'!AT157</f>
        <v>0</v>
      </c>
    </row>
    <row r="649" spans="1:22" x14ac:dyDescent="0.25">
      <c r="A649" s="757">
        <f>'D-3 Off-Site Habitat Enhancment'!AU160</f>
        <v>0</v>
      </c>
      <c r="M649" s="757">
        <f>'E-3 Off-Site Hedge Enhancement'!AO161</f>
        <v>0</v>
      </c>
      <c r="V649" s="1">
        <f>'F-3 Off-Site WaterC Enhancement'!AT158</f>
        <v>0</v>
      </c>
    </row>
    <row r="650" spans="1:22" x14ac:dyDescent="0.25">
      <c r="A650" s="757">
        <f>'D-3 Off-Site Habitat Enhancment'!AU161</f>
        <v>0</v>
      </c>
      <c r="M650" s="757">
        <f>'E-3 Off-Site Hedge Enhancement'!AO162</f>
        <v>0</v>
      </c>
      <c r="V650" s="1">
        <f>'F-3 Off-Site WaterC Enhancement'!AT159</f>
        <v>0</v>
      </c>
    </row>
    <row r="651" spans="1:22" x14ac:dyDescent="0.25">
      <c r="A651" s="757">
        <f>'D-3 Off-Site Habitat Enhancment'!AU162</f>
        <v>0</v>
      </c>
      <c r="M651" s="757">
        <f>'E-3 Off-Site Hedge Enhancement'!AO163</f>
        <v>0</v>
      </c>
      <c r="V651" s="1">
        <f>'F-3 Off-Site WaterC Enhancement'!AT160</f>
        <v>0</v>
      </c>
    </row>
    <row r="652" spans="1:22" x14ac:dyDescent="0.25">
      <c r="A652" s="757">
        <f>'D-3 Off-Site Habitat Enhancment'!AU163</f>
        <v>0</v>
      </c>
      <c r="M652" s="757">
        <f>'E-3 Off-Site Hedge Enhancement'!AO164</f>
        <v>0</v>
      </c>
      <c r="V652" s="1">
        <f>'F-3 Off-Site WaterC Enhancement'!AT161</f>
        <v>0</v>
      </c>
    </row>
    <row r="653" spans="1:22" x14ac:dyDescent="0.25">
      <c r="A653" s="757">
        <f>'D-3 Off-Site Habitat Enhancment'!AU164</f>
        <v>0</v>
      </c>
      <c r="M653" s="757">
        <f>'E-3 Off-Site Hedge Enhancement'!AO165</f>
        <v>0</v>
      </c>
      <c r="V653" s="1">
        <f>'F-3 Off-Site WaterC Enhancement'!AT162</f>
        <v>0</v>
      </c>
    </row>
    <row r="654" spans="1:22" x14ac:dyDescent="0.25">
      <c r="A654" s="757">
        <f>'D-3 Off-Site Habitat Enhancment'!AU165</f>
        <v>0</v>
      </c>
      <c r="M654" s="757">
        <f>'E-3 Off-Site Hedge Enhancement'!AO166</f>
        <v>0</v>
      </c>
      <c r="V654" s="1">
        <f>'F-3 Off-Site WaterC Enhancement'!AT163</f>
        <v>0</v>
      </c>
    </row>
    <row r="655" spans="1:22" x14ac:dyDescent="0.25">
      <c r="A655" s="757">
        <f>'D-3 Off-Site Habitat Enhancment'!AU166</f>
        <v>0</v>
      </c>
      <c r="M655" s="757">
        <f>'E-3 Off-Site Hedge Enhancement'!AO167</f>
        <v>0</v>
      </c>
      <c r="V655" s="1">
        <f>'F-3 Off-Site WaterC Enhancement'!AT164</f>
        <v>0</v>
      </c>
    </row>
    <row r="656" spans="1:22" x14ac:dyDescent="0.25">
      <c r="A656" s="757">
        <f>'D-3 Off-Site Habitat Enhancment'!AU167</f>
        <v>0</v>
      </c>
      <c r="M656" s="757">
        <f>'E-3 Off-Site Hedge Enhancement'!AO168</f>
        <v>0</v>
      </c>
      <c r="V656" s="1">
        <f>'F-3 Off-Site WaterC Enhancement'!AT165</f>
        <v>0</v>
      </c>
    </row>
    <row r="657" spans="1:22" x14ac:dyDescent="0.25">
      <c r="A657" s="757">
        <f>'D-3 Off-Site Habitat Enhancment'!AU168</f>
        <v>0</v>
      </c>
      <c r="M657" s="757">
        <f>'E-3 Off-Site Hedge Enhancement'!AO169</f>
        <v>0</v>
      </c>
      <c r="V657" s="1">
        <f>'F-3 Off-Site WaterC Enhancement'!AT166</f>
        <v>0</v>
      </c>
    </row>
    <row r="658" spans="1:22" x14ac:dyDescent="0.25">
      <c r="A658" s="757">
        <f>'D-3 Off-Site Habitat Enhancment'!AU169</f>
        <v>0</v>
      </c>
      <c r="M658" s="757">
        <f>'E-3 Off-Site Hedge Enhancement'!AO170</f>
        <v>0</v>
      </c>
      <c r="V658" s="1">
        <f>'F-3 Off-Site WaterC Enhancement'!AT167</f>
        <v>0</v>
      </c>
    </row>
    <row r="659" spans="1:22" x14ac:dyDescent="0.25">
      <c r="A659" s="757">
        <f>'D-3 Off-Site Habitat Enhancment'!AU170</f>
        <v>0</v>
      </c>
      <c r="M659" s="757">
        <f>'E-3 Off-Site Hedge Enhancement'!AO171</f>
        <v>0</v>
      </c>
      <c r="V659" s="1">
        <f>'F-3 Off-Site WaterC Enhancement'!AT168</f>
        <v>0</v>
      </c>
    </row>
    <row r="660" spans="1:22" x14ac:dyDescent="0.25">
      <c r="A660" s="757">
        <f>'D-3 Off-Site Habitat Enhancment'!AU171</f>
        <v>0</v>
      </c>
      <c r="M660" s="757">
        <f>'E-3 Off-Site Hedge Enhancement'!AO172</f>
        <v>0</v>
      </c>
      <c r="V660" s="1">
        <f>'F-3 Off-Site WaterC Enhancement'!AT169</f>
        <v>0</v>
      </c>
    </row>
    <row r="661" spans="1:22" x14ac:dyDescent="0.25">
      <c r="A661" s="757">
        <f>'D-3 Off-Site Habitat Enhancment'!AU172</f>
        <v>0</v>
      </c>
      <c r="M661" s="757">
        <f>'E-3 Off-Site Hedge Enhancement'!AO173</f>
        <v>0</v>
      </c>
      <c r="V661" s="1">
        <f>'F-3 Off-Site WaterC Enhancement'!AT170</f>
        <v>0</v>
      </c>
    </row>
    <row r="662" spans="1:22" x14ac:dyDescent="0.25">
      <c r="A662" s="757">
        <f>'D-3 Off-Site Habitat Enhancment'!AU173</f>
        <v>0</v>
      </c>
      <c r="M662" s="757">
        <f>'E-3 Off-Site Hedge Enhancement'!AO174</f>
        <v>0</v>
      </c>
      <c r="V662" s="1">
        <f>'F-3 Off-Site WaterC Enhancement'!AT171</f>
        <v>0</v>
      </c>
    </row>
    <row r="663" spans="1:22" x14ac:dyDescent="0.25">
      <c r="A663" s="757">
        <f>'D-3 Off-Site Habitat Enhancment'!AU174</f>
        <v>0</v>
      </c>
      <c r="M663" s="757">
        <f>'E-3 Off-Site Hedge Enhancement'!AO175</f>
        <v>0</v>
      </c>
      <c r="V663" s="1">
        <f>'F-3 Off-Site WaterC Enhancement'!AT172</f>
        <v>0</v>
      </c>
    </row>
    <row r="664" spans="1:22" x14ac:dyDescent="0.25">
      <c r="A664" s="757">
        <f>'D-3 Off-Site Habitat Enhancment'!AU175</f>
        <v>0</v>
      </c>
      <c r="M664" s="757">
        <f>'E-3 Off-Site Hedge Enhancement'!AO176</f>
        <v>0</v>
      </c>
      <c r="V664" s="1">
        <f>'F-3 Off-Site WaterC Enhancement'!AT173</f>
        <v>0</v>
      </c>
    </row>
    <row r="665" spans="1:22" x14ac:dyDescent="0.25">
      <c r="A665" s="757">
        <f>'D-3 Off-Site Habitat Enhancment'!AU176</f>
        <v>0</v>
      </c>
      <c r="M665" s="757">
        <f>'E-3 Off-Site Hedge Enhancement'!AO177</f>
        <v>0</v>
      </c>
      <c r="V665" s="1">
        <f>'F-3 Off-Site WaterC Enhancement'!AT174</f>
        <v>0</v>
      </c>
    </row>
    <row r="666" spans="1:22" x14ac:dyDescent="0.25">
      <c r="A666" s="757">
        <f>'D-3 Off-Site Habitat Enhancment'!AU177</f>
        <v>0</v>
      </c>
      <c r="M666" s="757">
        <f>'E-3 Off-Site Hedge Enhancement'!AO178</f>
        <v>0</v>
      </c>
      <c r="V666" s="1">
        <f>'F-3 Off-Site WaterC Enhancement'!AT175</f>
        <v>0</v>
      </c>
    </row>
    <row r="667" spans="1:22" x14ac:dyDescent="0.25">
      <c r="A667" s="757">
        <f>'D-3 Off-Site Habitat Enhancment'!AU178</f>
        <v>0</v>
      </c>
      <c r="M667" s="757">
        <f>'E-3 Off-Site Hedge Enhancement'!AO179</f>
        <v>0</v>
      </c>
      <c r="V667" s="1">
        <f>'F-3 Off-Site WaterC Enhancement'!AT176</f>
        <v>0</v>
      </c>
    </row>
    <row r="668" spans="1:22" x14ac:dyDescent="0.25">
      <c r="A668" s="757">
        <f>'D-3 Off-Site Habitat Enhancment'!AU179</f>
        <v>0</v>
      </c>
      <c r="M668" s="757">
        <f>'E-3 Off-Site Hedge Enhancement'!AO180</f>
        <v>0</v>
      </c>
      <c r="V668" s="1">
        <f>'F-3 Off-Site WaterC Enhancement'!AT177</f>
        <v>0</v>
      </c>
    </row>
    <row r="669" spans="1:22" x14ac:dyDescent="0.25">
      <c r="A669" s="757">
        <f>'D-3 Off-Site Habitat Enhancment'!AU180</f>
        <v>0</v>
      </c>
      <c r="M669" s="757">
        <f>'E-3 Off-Site Hedge Enhancement'!AO181</f>
        <v>0</v>
      </c>
      <c r="V669" s="1">
        <f>'F-3 Off-Site WaterC Enhancement'!AT178</f>
        <v>0</v>
      </c>
    </row>
    <row r="670" spans="1:22" x14ac:dyDescent="0.25">
      <c r="A670" s="757">
        <f>'D-3 Off-Site Habitat Enhancment'!AU181</f>
        <v>0</v>
      </c>
      <c r="M670" s="757">
        <f>'E-3 Off-Site Hedge Enhancement'!AO182</f>
        <v>0</v>
      </c>
      <c r="V670" s="1">
        <f>'F-3 Off-Site WaterC Enhancement'!AT179</f>
        <v>0</v>
      </c>
    </row>
    <row r="671" spans="1:22" x14ac:dyDescent="0.25">
      <c r="A671" s="757">
        <f>'D-3 Off-Site Habitat Enhancment'!AU182</f>
        <v>0</v>
      </c>
      <c r="M671" s="757">
        <f>'E-3 Off-Site Hedge Enhancement'!AO183</f>
        <v>0</v>
      </c>
      <c r="V671" s="1">
        <f>'F-3 Off-Site WaterC Enhancement'!AT180</f>
        <v>0</v>
      </c>
    </row>
    <row r="672" spans="1:22" x14ac:dyDescent="0.25">
      <c r="A672" s="757">
        <f>'D-3 Off-Site Habitat Enhancment'!AU183</f>
        <v>0</v>
      </c>
      <c r="M672" s="757">
        <f>'E-3 Off-Site Hedge Enhancement'!AO184</f>
        <v>0</v>
      </c>
      <c r="V672" s="1">
        <f>'F-3 Off-Site WaterC Enhancement'!AT181</f>
        <v>0</v>
      </c>
    </row>
    <row r="673" spans="1:22" x14ac:dyDescent="0.25">
      <c r="A673" s="757">
        <f>'D-3 Off-Site Habitat Enhancment'!AU184</f>
        <v>0</v>
      </c>
      <c r="M673" s="757">
        <f>'E-3 Off-Site Hedge Enhancement'!AO185</f>
        <v>0</v>
      </c>
      <c r="V673" s="1">
        <f>'F-3 Off-Site WaterC Enhancement'!AT182</f>
        <v>0</v>
      </c>
    </row>
    <row r="674" spans="1:22" x14ac:dyDescent="0.25">
      <c r="A674" s="757">
        <f>'D-3 Off-Site Habitat Enhancment'!AU185</f>
        <v>0</v>
      </c>
      <c r="M674" s="757">
        <f>'E-3 Off-Site Hedge Enhancement'!AO186</f>
        <v>0</v>
      </c>
      <c r="V674" s="1">
        <f>'F-3 Off-Site WaterC Enhancement'!AT183</f>
        <v>0</v>
      </c>
    </row>
    <row r="675" spans="1:22" x14ac:dyDescent="0.25">
      <c r="A675" s="757">
        <f>'D-3 Off-Site Habitat Enhancment'!AU186</f>
        <v>0</v>
      </c>
      <c r="M675" s="757">
        <f>'E-3 Off-Site Hedge Enhancement'!AO187</f>
        <v>0</v>
      </c>
      <c r="V675" s="1">
        <f>'F-3 Off-Site WaterC Enhancement'!AT184</f>
        <v>0</v>
      </c>
    </row>
    <row r="676" spans="1:22" x14ac:dyDescent="0.25">
      <c r="A676" s="757">
        <f>'D-3 Off-Site Habitat Enhancment'!AU187</f>
        <v>0</v>
      </c>
      <c r="M676" s="757">
        <f>'E-3 Off-Site Hedge Enhancement'!AO188</f>
        <v>0</v>
      </c>
      <c r="V676" s="1">
        <f>'F-3 Off-Site WaterC Enhancement'!AT185</f>
        <v>0</v>
      </c>
    </row>
    <row r="677" spans="1:22" x14ac:dyDescent="0.25">
      <c r="A677" s="757">
        <f>'D-3 Off-Site Habitat Enhancment'!AU188</f>
        <v>0</v>
      </c>
      <c r="M677" s="757">
        <f>'E-3 Off-Site Hedge Enhancement'!AO189</f>
        <v>0</v>
      </c>
      <c r="V677" s="1">
        <f>'F-3 Off-Site WaterC Enhancement'!AT186</f>
        <v>0</v>
      </c>
    </row>
    <row r="678" spans="1:22" x14ac:dyDescent="0.25">
      <c r="A678" s="757">
        <f>'D-3 Off-Site Habitat Enhancment'!AU189</f>
        <v>0</v>
      </c>
      <c r="M678" s="757">
        <f>'E-3 Off-Site Hedge Enhancement'!AO190</f>
        <v>0</v>
      </c>
      <c r="V678" s="1">
        <f>'F-3 Off-Site WaterC Enhancement'!AT187</f>
        <v>0</v>
      </c>
    </row>
    <row r="679" spans="1:22" x14ac:dyDescent="0.25">
      <c r="A679" s="757">
        <f>'D-3 Off-Site Habitat Enhancment'!AU190</f>
        <v>0</v>
      </c>
      <c r="M679" s="757">
        <f>'E-3 Off-Site Hedge Enhancement'!AO191</f>
        <v>0</v>
      </c>
      <c r="V679" s="1">
        <f>'F-3 Off-Site WaterC Enhancement'!AT188</f>
        <v>0</v>
      </c>
    </row>
    <row r="680" spans="1:22" x14ac:dyDescent="0.25">
      <c r="A680" s="757">
        <f>'D-3 Off-Site Habitat Enhancment'!AU191</f>
        <v>0</v>
      </c>
      <c r="M680" s="757">
        <f>'E-3 Off-Site Hedge Enhancement'!AO192</f>
        <v>0</v>
      </c>
      <c r="V680" s="1">
        <f>'F-3 Off-Site WaterC Enhancement'!AT189</f>
        <v>0</v>
      </c>
    </row>
    <row r="681" spans="1:22" x14ac:dyDescent="0.25">
      <c r="A681" s="757">
        <f>'D-3 Off-Site Habitat Enhancment'!AU192</f>
        <v>0</v>
      </c>
      <c r="M681" s="757">
        <f>'E-3 Off-Site Hedge Enhancement'!AO193</f>
        <v>0</v>
      </c>
      <c r="V681" s="1">
        <f>'F-3 Off-Site WaterC Enhancement'!AT190</f>
        <v>0</v>
      </c>
    </row>
    <row r="682" spans="1:22" x14ac:dyDescent="0.25">
      <c r="A682" s="757">
        <f>'D-3 Off-Site Habitat Enhancment'!AU193</f>
        <v>0</v>
      </c>
      <c r="M682" s="757">
        <f>'E-3 Off-Site Hedge Enhancement'!AO194</f>
        <v>0</v>
      </c>
      <c r="V682" s="1">
        <f>'F-3 Off-Site WaterC Enhancement'!AT191</f>
        <v>0</v>
      </c>
    </row>
    <row r="683" spans="1:22" x14ac:dyDescent="0.25">
      <c r="A683" s="757">
        <f>'D-3 Off-Site Habitat Enhancment'!AU194</f>
        <v>0</v>
      </c>
      <c r="M683" s="757">
        <f>'E-3 Off-Site Hedge Enhancement'!AO195</f>
        <v>0</v>
      </c>
      <c r="V683" s="1">
        <f>'F-3 Off-Site WaterC Enhancement'!AT192</f>
        <v>0</v>
      </c>
    </row>
    <row r="684" spans="1:22" x14ac:dyDescent="0.25">
      <c r="A684" s="757">
        <f>'D-3 Off-Site Habitat Enhancment'!AU195</f>
        <v>0</v>
      </c>
      <c r="M684" s="757">
        <f>'E-3 Off-Site Hedge Enhancement'!AO196</f>
        <v>0</v>
      </c>
      <c r="V684" s="1">
        <f>'F-3 Off-Site WaterC Enhancement'!AT193</f>
        <v>0</v>
      </c>
    </row>
    <row r="685" spans="1:22" x14ac:dyDescent="0.25">
      <c r="A685" s="757">
        <f>'D-3 Off-Site Habitat Enhancment'!AU196</f>
        <v>0</v>
      </c>
      <c r="M685" s="757">
        <f>'E-3 Off-Site Hedge Enhancement'!AO197</f>
        <v>0</v>
      </c>
      <c r="V685" s="1">
        <f>'F-3 Off-Site WaterC Enhancement'!AT194</f>
        <v>0</v>
      </c>
    </row>
    <row r="686" spans="1:22" x14ac:dyDescent="0.25">
      <c r="A686" s="757">
        <f>'D-3 Off-Site Habitat Enhancment'!AU197</f>
        <v>0</v>
      </c>
      <c r="M686" s="757">
        <f>'E-3 Off-Site Hedge Enhancement'!AO198</f>
        <v>0</v>
      </c>
      <c r="V686" s="1">
        <f>'F-3 Off-Site WaterC Enhancement'!AT195</f>
        <v>0</v>
      </c>
    </row>
    <row r="687" spans="1:22" x14ac:dyDescent="0.25">
      <c r="A687" s="757">
        <f>'D-3 Off-Site Habitat Enhancment'!AU198</f>
        <v>0</v>
      </c>
      <c r="M687" s="757">
        <f>'E-3 Off-Site Hedge Enhancement'!AO199</f>
        <v>0</v>
      </c>
      <c r="V687" s="1">
        <f>'F-3 Off-Site WaterC Enhancement'!AT196</f>
        <v>0</v>
      </c>
    </row>
    <row r="688" spans="1:22" x14ac:dyDescent="0.25">
      <c r="A688" s="757">
        <f>'D-3 Off-Site Habitat Enhancment'!AU199</f>
        <v>0</v>
      </c>
      <c r="M688" s="757">
        <f>'E-3 Off-Site Hedge Enhancement'!AO200</f>
        <v>0</v>
      </c>
      <c r="V688" s="1">
        <f>'F-3 Off-Site WaterC Enhancement'!AT197</f>
        <v>0</v>
      </c>
    </row>
    <row r="689" spans="1:22" x14ac:dyDescent="0.25">
      <c r="A689" s="757">
        <f>'D-3 Off-Site Habitat Enhancment'!AU200</f>
        <v>0</v>
      </c>
      <c r="M689" s="757">
        <f>'E-3 Off-Site Hedge Enhancement'!AO201</f>
        <v>0</v>
      </c>
      <c r="V689" s="1">
        <f>'F-3 Off-Site WaterC Enhancement'!AT198</f>
        <v>0</v>
      </c>
    </row>
    <row r="690" spans="1:22" x14ac:dyDescent="0.25">
      <c r="A690" s="757">
        <f>'D-3 Off-Site Habitat Enhancment'!AU201</f>
        <v>0</v>
      </c>
      <c r="M690" s="757">
        <f>'E-3 Off-Site Hedge Enhancement'!AO202</f>
        <v>0</v>
      </c>
      <c r="V690" s="1">
        <f>'F-3 Off-Site WaterC Enhancement'!AT199</f>
        <v>0</v>
      </c>
    </row>
    <row r="691" spans="1:22" x14ac:dyDescent="0.25">
      <c r="A691" s="757">
        <f>'D-3 Off-Site Habitat Enhancment'!AU202</f>
        <v>0</v>
      </c>
      <c r="M691" s="757">
        <f>'E-3 Off-Site Hedge Enhancement'!AO203</f>
        <v>0</v>
      </c>
      <c r="V691" s="1">
        <f>'F-3 Off-Site WaterC Enhancement'!AT200</f>
        <v>0</v>
      </c>
    </row>
    <row r="692" spans="1:22" x14ac:dyDescent="0.25">
      <c r="A692" s="757">
        <f>'D-3 Off-Site Habitat Enhancment'!AU203</f>
        <v>0</v>
      </c>
      <c r="M692" s="757">
        <f>'E-3 Off-Site Hedge Enhancement'!AO204</f>
        <v>0</v>
      </c>
      <c r="V692" s="1">
        <f>'F-3 Off-Site WaterC Enhancement'!AT201</f>
        <v>0</v>
      </c>
    </row>
    <row r="693" spans="1:22" x14ac:dyDescent="0.25">
      <c r="A693" s="757">
        <f>'D-3 Off-Site Habitat Enhancment'!AU204</f>
        <v>0</v>
      </c>
      <c r="M693" s="757">
        <f>'E-3 Off-Site Hedge Enhancement'!AO205</f>
        <v>0</v>
      </c>
      <c r="V693" s="1">
        <f>'F-3 Off-Site WaterC Enhancement'!AT202</f>
        <v>0</v>
      </c>
    </row>
    <row r="694" spans="1:22" x14ac:dyDescent="0.25">
      <c r="A694" s="757">
        <f>'D-3 Off-Site Habitat Enhancment'!AU205</f>
        <v>0</v>
      </c>
      <c r="M694" s="757">
        <f>'E-3 Off-Site Hedge Enhancement'!AO206</f>
        <v>0</v>
      </c>
      <c r="V694" s="1">
        <f>'F-3 Off-Site WaterC Enhancement'!AT203</f>
        <v>0</v>
      </c>
    </row>
    <row r="695" spans="1:22" x14ac:dyDescent="0.25">
      <c r="A695" s="757">
        <f>'D-3 Off-Site Habitat Enhancment'!AU206</f>
        <v>0</v>
      </c>
      <c r="M695" s="757">
        <f>'E-3 Off-Site Hedge Enhancement'!AO207</f>
        <v>0</v>
      </c>
      <c r="V695" s="1">
        <f>'F-3 Off-Site WaterC Enhancement'!AT204</f>
        <v>0</v>
      </c>
    </row>
    <row r="696" spans="1:22" x14ac:dyDescent="0.25">
      <c r="A696" s="757">
        <f>'D-3 Off-Site Habitat Enhancment'!AU207</f>
        <v>0</v>
      </c>
      <c r="M696" s="757">
        <f>'E-3 Off-Site Hedge Enhancement'!AO208</f>
        <v>0</v>
      </c>
      <c r="V696" s="1">
        <f>'F-3 Off-Site WaterC Enhancement'!AT205</f>
        <v>0</v>
      </c>
    </row>
    <row r="697" spans="1:22" x14ac:dyDescent="0.25">
      <c r="A697" s="757">
        <f>'D-3 Off-Site Habitat Enhancment'!AU208</f>
        <v>0</v>
      </c>
      <c r="M697" s="757">
        <f>'E-3 Off-Site Hedge Enhancement'!AO209</f>
        <v>0</v>
      </c>
      <c r="V697" s="1">
        <f>'F-3 Off-Site WaterC Enhancement'!AT206</f>
        <v>0</v>
      </c>
    </row>
    <row r="698" spans="1:22" x14ac:dyDescent="0.25">
      <c r="A698" s="757">
        <f>'D-3 Off-Site Habitat Enhancment'!AU209</f>
        <v>0</v>
      </c>
      <c r="M698" s="757">
        <f>'E-3 Off-Site Hedge Enhancement'!AO210</f>
        <v>0</v>
      </c>
      <c r="V698" s="1">
        <f>'F-3 Off-Site WaterC Enhancement'!AT207</f>
        <v>0</v>
      </c>
    </row>
    <row r="699" spans="1:22" x14ac:dyDescent="0.25">
      <c r="A699" s="757">
        <f>'D-3 Off-Site Habitat Enhancment'!AU210</f>
        <v>0</v>
      </c>
      <c r="M699" s="757">
        <f>'E-3 Off-Site Hedge Enhancement'!AO211</f>
        <v>0</v>
      </c>
      <c r="V699" s="1">
        <f>'F-3 Off-Site WaterC Enhancement'!AT208</f>
        <v>0</v>
      </c>
    </row>
    <row r="700" spans="1:22" x14ac:dyDescent="0.25">
      <c r="A700" s="757">
        <f>'D-3 Off-Site Habitat Enhancment'!AU211</f>
        <v>0</v>
      </c>
      <c r="M700" s="757">
        <f>'E-3 Off-Site Hedge Enhancement'!AO212</f>
        <v>0</v>
      </c>
      <c r="V700" s="1">
        <f>'F-3 Off-Site WaterC Enhancement'!AT209</f>
        <v>0</v>
      </c>
    </row>
    <row r="701" spans="1:22" x14ac:dyDescent="0.25">
      <c r="A701" s="757">
        <f>'D-3 Off-Site Habitat Enhancment'!AU212</f>
        <v>0</v>
      </c>
      <c r="M701" s="757">
        <f>'E-3 Off-Site Hedge Enhancement'!AO213</f>
        <v>0</v>
      </c>
      <c r="V701" s="1">
        <f>'F-3 Off-Site WaterC Enhancement'!AT210</f>
        <v>0</v>
      </c>
    </row>
    <row r="702" spans="1:22" x14ac:dyDescent="0.25">
      <c r="A702" s="757">
        <f>'D-3 Off-Site Habitat Enhancment'!AU213</f>
        <v>0</v>
      </c>
      <c r="M702" s="757">
        <f>'E-3 Off-Site Hedge Enhancement'!AO214</f>
        <v>0</v>
      </c>
      <c r="V702" s="1">
        <f>'F-3 Off-Site WaterC Enhancement'!AT211</f>
        <v>0</v>
      </c>
    </row>
    <row r="703" spans="1:22" x14ac:dyDescent="0.25">
      <c r="A703" s="757">
        <f>'D-3 Off-Site Habitat Enhancment'!AU214</f>
        <v>0</v>
      </c>
      <c r="M703" s="757">
        <f>'E-3 Off-Site Hedge Enhancement'!AO215</f>
        <v>0</v>
      </c>
      <c r="V703" s="1">
        <f>'F-3 Off-Site WaterC Enhancement'!AT212</f>
        <v>0</v>
      </c>
    </row>
    <row r="704" spans="1:22" x14ac:dyDescent="0.25">
      <c r="A704" s="757">
        <f>'D-3 Off-Site Habitat Enhancment'!AU215</f>
        <v>0</v>
      </c>
      <c r="M704" s="757">
        <f>'E-3 Off-Site Hedge Enhancement'!AO216</f>
        <v>0</v>
      </c>
      <c r="V704" s="1">
        <f>'F-3 Off-Site WaterC Enhancement'!AT213</f>
        <v>0</v>
      </c>
    </row>
    <row r="705" spans="1:22" x14ac:dyDescent="0.25">
      <c r="A705" s="757">
        <f>'D-3 Off-Site Habitat Enhancment'!AU216</f>
        <v>0</v>
      </c>
      <c r="M705" s="757">
        <f>'E-3 Off-Site Hedge Enhancement'!AO217</f>
        <v>0</v>
      </c>
      <c r="V705" s="1">
        <f>'F-3 Off-Site WaterC Enhancement'!AT214</f>
        <v>0</v>
      </c>
    </row>
    <row r="706" spans="1:22" x14ac:dyDescent="0.25">
      <c r="A706" s="757">
        <f>'D-3 Off-Site Habitat Enhancment'!AU217</f>
        <v>0</v>
      </c>
      <c r="M706" s="757">
        <f>'E-3 Off-Site Hedge Enhancement'!AO218</f>
        <v>0</v>
      </c>
      <c r="V706" s="1">
        <f>'F-3 Off-Site WaterC Enhancement'!AT215</f>
        <v>0</v>
      </c>
    </row>
    <row r="707" spans="1:22" x14ac:dyDescent="0.25">
      <c r="A707" s="757">
        <f>'D-3 Off-Site Habitat Enhancment'!AU218</f>
        <v>0</v>
      </c>
      <c r="M707" s="757">
        <f>'E-3 Off-Site Hedge Enhancement'!AO219</f>
        <v>0</v>
      </c>
      <c r="V707" s="1">
        <f>'F-3 Off-Site WaterC Enhancement'!AT216</f>
        <v>0</v>
      </c>
    </row>
    <row r="708" spans="1:22" x14ac:dyDescent="0.25">
      <c r="A708" s="757">
        <f>'D-3 Off-Site Habitat Enhancment'!AU219</f>
        <v>0</v>
      </c>
      <c r="M708" s="757">
        <f>'E-3 Off-Site Hedge Enhancement'!AO220</f>
        <v>0</v>
      </c>
      <c r="V708" s="1">
        <f>'F-3 Off-Site WaterC Enhancement'!AT217</f>
        <v>0</v>
      </c>
    </row>
    <row r="709" spans="1:22" x14ac:dyDescent="0.25">
      <c r="A709" s="757">
        <f>'D-3 Off-Site Habitat Enhancment'!AU220</f>
        <v>0</v>
      </c>
      <c r="M709" s="757">
        <f>'E-3 Off-Site Hedge Enhancement'!AO221</f>
        <v>0</v>
      </c>
      <c r="V709" s="1">
        <f>'F-3 Off-Site WaterC Enhancement'!AT218</f>
        <v>0</v>
      </c>
    </row>
    <row r="710" spans="1:22" x14ac:dyDescent="0.25">
      <c r="A710" s="757">
        <f>'D-3 Off-Site Habitat Enhancment'!AU221</f>
        <v>0</v>
      </c>
      <c r="M710" s="757">
        <f>'E-3 Off-Site Hedge Enhancement'!AO222</f>
        <v>0</v>
      </c>
      <c r="V710" s="1">
        <f>'F-3 Off-Site WaterC Enhancement'!AT219</f>
        <v>0</v>
      </c>
    </row>
    <row r="711" spans="1:22" x14ac:dyDescent="0.25">
      <c r="A711" s="757">
        <f>'D-3 Off-Site Habitat Enhancment'!AU222</f>
        <v>0</v>
      </c>
      <c r="M711" s="757">
        <f>'E-3 Off-Site Hedge Enhancement'!AO223</f>
        <v>0</v>
      </c>
      <c r="V711" s="1">
        <f>'F-3 Off-Site WaterC Enhancement'!AT220</f>
        <v>0</v>
      </c>
    </row>
    <row r="712" spans="1:22" x14ac:dyDescent="0.25">
      <c r="A712" s="757">
        <f>'D-3 Off-Site Habitat Enhancment'!AU223</f>
        <v>0</v>
      </c>
      <c r="M712" s="757">
        <f>'E-3 Off-Site Hedge Enhancement'!AO224</f>
        <v>0</v>
      </c>
      <c r="V712" s="1">
        <f>'F-3 Off-Site WaterC Enhancement'!AT221</f>
        <v>0</v>
      </c>
    </row>
    <row r="713" spans="1:22" x14ac:dyDescent="0.25">
      <c r="A713" s="757">
        <f>'D-3 Off-Site Habitat Enhancment'!AU224</f>
        <v>0</v>
      </c>
      <c r="M713" s="757">
        <f>'E-3 Off-Site Hedge Enhancement'!AO225</f>
        <v>0</v>
      </c>
      <c r="V713" s="1">
        <f>'F-3 Off-Site WaterC Enhancement'!AT222</f>
        <v>0</v>
      </c>
    </row>
    <row r="714" spans="1:22" x14ac:dyDescent="0.25">
      <c r="A714" s="757">
        <f>'D-3 Off-Site Habitat Enhancment'!AU225</f>
        <v>0</v>
      </c>
      <c r="M714" s="757">
        <f>'E-3 Off-Site Hedge Enhancement'!AO226</f>
        <v>0</v>
      </c>
      <c r="V714" s="1">
        <f>'F-3 Off-Site WaterC Enhancement'!AT223</f>
        <v>0</v>
      </c>
    </row>
    <row r="715" spans="1:22" x14ac:dyDescent="0.25">
      <c r="A715" s="757">
        <f>'D-3 Off-Site Habitat Enhancment'!AU226</f>
        <v>0</v>
      </c>
      <c r="M715" s="757">
        <f>'E-3 Off-Site Hedge Enhancement'!AO227</f>
        <v>0</v>
      </c>
      <c r="V715" s="1">
        <f>'F-3 Off-Site WaterC Enhancement'!AT224</f>
        <v>0</v>
      </c>
    </row>
    <row r="716" spans="1:22" x14ac:dyDescent="0.25">
      <c r="A716" s="757">
        <f>'D-3 Off-Site Habitat Enhancment'!AU227</f>
        <v>0</v>
      </c>
      <c r="M716" s="757">
        <f>'E-3 Off-Site Hedge Enhancement'!AO228</f>
        <v>0</v>
      </c>
      <c r="V716" s="1">
        <f>'F-3 Off-Site WaterC Enhancement'!AT225</f>
        <v>0</v>
      </c>
    </row>
    <row r="717" spans="1:22" x14ac:dyDescent="0.25">
      <c r="A717" s="757">
        <f>'D-3 Off-Site Habitat Enhancment'!AU228</f>
        <v>0</v>
      </c>
      <c r="M717" s="757">
        <f>'E-3 Off-Site Hedge Enhancement'!AO229</f>
        <v>0</v>
      </c>
      <c r="V717" s="1">
        <f>'F-3 Off-Site WaterC Enhancement'!AT226</f>
        <v>0</v>
      </c>
    </row>
    <row r="718" spans="1:22" x14ac:dyDescent="0.25">
      <c r="A718" s="757">
        <f>'D-3 Off-Site Habitat Enhancment'!AU229</f>
        <v>0</v>
      </c>
      <c r="M718" s="757">
        <f>'E-3 Off-Site Hedge Enhancement'!AO230</f>
        <v>0</v>
      </c>
      <c r="V718" s="1">
        <f>'F-3 Off-Site WaterC Enhancement'!AT227</f>
        <v>0</v>
      </c>
    </row>
    <row r="719" spans="1:22" x14ac:dyDescent="0.25">
      <c r="A719" s="757">
        <f>'D-3 Off-Site Habitat Enhancment'!AU230</f>
        <v>0</v>
      </c>
      <c r="M719" s="757">
        <f>'E-3 Off-Site Hedge Enhancement'!AO231</f>
        <v>0</v>
      </c>
      <c r="V719" s="1">
        <f>'F-3 Off-Site WaterC Enhancement'!AT228</f>
        <v>0</v>
      </c>
    </row>
    <row r="720" spans="1:22" x14ac:dyDescent="0.25">
      <c r="A720" s="757">
        <f>'D-3 Off-Site Habitat Enhancment'!AU231</f>
        <v>0</v>
      </c>
      <c r="M720" s="757">
        <f>'E-3 Off-Site Hedge Enhancement'!AO232</f>
        <v>0</v>
      </c>
      <c r="V720" s="1">
        <f>'F-3 Off-Site WaterC Enhancement'!AT229</f>
        <v>0</v>
      </c>
    </row>
    <row r="721" spans="1:22" x14ac:dyDescent="0.25">
      <c r="A721" s="757">
        <f>'D-3 Off-Site Habitat Enhancment'!AU232</f>
        <v>0</v>
      </c>
      <c r="M721" s="757">
        <f>'E-3 Off-Site Hedge Enhancement'!AO233</f>
        <v>0</v>
      </c>
      <c r="V721" s="1">
        <f>'F-3 Off-Site WaterC Enhancement'!AT230</f>
        <v>0</v>
      </c>
    </row>
    <row r="722" spans="1:22" x14ac:dyDescent="0.25">
      <c r="A722" s="757">
        <f>'D-3 Off-Site Habitat Enhancment'!AU233</f>
        <v>0</v>
      </c>
      <c r="M722" s="757">
        <f>'E-3 Off-Site Hedge Enhancement'!AO234</f>
        <v>0</v>
      </c>
      <c r="V722" s="1">
        <f>'F-3 Off-Site WaterC Enhancement'!AT231</f>
        <v>0</v>
      </c>
    </row>
    <row r="723" spans="1:22" x14ac:dyDescent="0.25">
      <c r="A723" s="757">
        <f>'D-3 Off-Site Habitat Enhancment'!AU234</f>
        <v>0</v>
      </c>
      <c r="M723" s="757">
        <f>'E-3 Off-Site Hedge Enhancement'!AO235</f>
        <v>0</v>
      </c>
      <c r="V723" s="1">
        <f>'F-3 Off-Site WaterC Enhancement'!AT232</f>
        <v>0</v>
      </c>
    </row>
    <row r="724" spans="1:22" x14ac:dyDescent="0.25">
      <c r="A724" s="757">
        <f>'D-3 Off-Site Habitat Enhancment'!AU235</f>
        <v>0</v>
      </c>
      <c r="M724" s="757">
        <f>'E-3 Off-Site Hedge Enhancement'!AO236</f>
        <v>0</v>
      </c>
      <c r="V724" s="1">
        <f>'F-3 Off-Site WaterC Enhancement'!AT233</f>
        <v>0</v>
      </c>
    </row>
    <row r="725" spans="1:22" x14ac:dyDescent="0.25">
      <c r="A725" s="757">
        <f>'D-3 Off-Site Habitat Enhancment'!AU236</f>
        <v>0</v>
      </c>
      <c r="M725" s="757">
        <f>'E-3 Off-Site Hedge Enhancement'!AO237</f>
        <v>0</v>
      </c>
      <c r="V725" s="1">
        <f>'F-3 Off-Site WaterC Enhancement'!AT234</f>
        <v>0</v>
      </c>
    </row>
    <row r="726" spans="1:22" x14ac:dyDescent="0.25">
      <c r="A726" s="757">
        <f>'D-3 Off-Site Habitat Enhancment'!AU237</f>
        <v>0</v>
      </c>
      <c r="M726" s="757">
        <f>'E-3 Off-Site Hedge Enhancement'!AO238</f>
        <v>0</v>
      </c>
      <c r="V726" s="1">
        <f>'F-3 Off-Site WaterC Enhancement'!AT235</f>
        <v>0</v>
      </c>
    </row>
    <row r="727" spans="1:22" x14ac:dyDescent="0.25">
      <c r="A727" s="757">
        <f>'D-3 Off-Site Habitat Enhancment'!AU238</f>
        <v>0</v>
      </c>
      <c r="M727" s="757">
        <f>'E-3 Off-Site Hedge Enhancement'!AO239</f>
        <v>0</v>
      </c>
      <c r="V727" s="1">
        <f>'F-3 Off-Site WaterC Enhancement'!AT236</f>
        <v>0</v>
      </c>
    </row>
    <row r="728" spans="1:22" x14ac:dyDescent="0.25">
      <c r="A728" s="757">
        <f>'D-3 Off-Site Habitat Enhancment'!AU239</f>
        <v>0</v>
      </c>
      <c r="M728" s="757">
        <f>'E-3 Off-Site Hedge Enhancement'!AO240</f>
        <v>0</v>
      </c>
      <c r="V728" s="1">
        <f>'F-3 Off-Site WaterC Enhancement'!AT237</f>
        <v>0</v>
      </c>
    </row>
    <row r="729" spans="1:22" x14ac:dyDescent="0.25">
      <c r="A729" s="757">
        <f>'D-3 Off-Site Habitat Enhancment'!AU240</f>
        <v>0</v>
      </c>
      <c r="M729" s="757">
        <f>'E-3 Off-Site Hedge Enhancement'!AO241</f>
        <v>0</v>
      </c>
      <c r="V729" s="1">
        <f>'F-3 Off-Site WaterC Enhancement'!AT238</f>
        <v>0</v>
      </c>
    </row>
    <row r="730" spans="1:22" x14ac:dyDescent="0.25">
      <c r="A730" s="757">
        <f>'D-3 Off-Site Habitat Enhancment'!AU241</f>
        <v>0</v>
      </c>
      <c r="M730" s="757">
        <f>'E-3 Off-Site Hedge Enhancement'!AO242</f>
        <v>0</v>
      </c>
      <c r="V730" s="1">
        <f>'F-3 Off-Site WaterC Enhancement'!AT239</f>
        <v>0</v>
      </c>
    </row>
    <row r="731" spans="1:22" x14ac:dyDescent="0.25">
      <c r="A731" s="757">
        <f>'D-3 Off-Site Habitat Enhancment'!AU242</f>
        <v>0</v>
      </c>
      <c r="M731" s="757">
        <f>'E-3 Off-Site Hedge Enhancement'!AO243</f>
        <v>0</v>
      </c>
      <c r="V731" s="1">
        <f>'F-3 Off-Site WaterC Enhancement'!AT240</f>
        <v>0</v>
      </c>
    </row>
    <row r="732" spans="1:22" x14ac:dyDescent="0.25">
      <c r="A732" s="757">
        <f>'D-3 Off-Site Habitat Enhancment'!AU243</f>
        <v>0</v>
      </c>
      <c r="M732" s="757">
        <f>'E-3 Off-Site Hedge Enhancement'!AO244</f>
        <v>0</v>
      </c>
      <c r="V732" s="1">
        <f>'F-3 Off-Site WaterC Enhancement'!AT241</f>
        <v>0</v>
      </c>
    </row>
    <row r="733" spans="1:22" x14ac:dyDescent="0.25">
      <c r="A733" s="757">
        <f>'D-3 Off-Site Habitat Enhancment'!AU244</f>
        <v>0</v>
      </c>
      <c r="M733" s="757">
        <f>'E-3 Off-Site Hedge Enhancement'!AO245</f>
        <v>0</v>
      </c>
      <c r="V733" s="1">
        <f>'F-3 Off-Site WaterC Enhancement'!AT242</f>
        <v>0</v>
      </c>
    </row>
    <row r="734" spans="1:22" x14ac:dyDescent="0.25">
      <c r="A734" s="757">
        <f>'D-3 Off-Site Habitat Enhancment'!AU245</f>
        <v>0</v>
      </c>
      <c r="M734" s="757">
        <f>'E-3 Off-Site Hedge Enhancement'!AO246</f>
        <v>0</v>
      </c>
      <c r="V734" s="1">
        <f>'F-3 Off-Site WaterC Enhancement'!AT243</f>
        <v>0</v>
      </c>
    </row>
    <row r="735" spans="1:22" x14ac:dyDescent="0.25">
      <c r="A735" s="757">
        <f>'D-3 Off-Site Habitat Enhancment'!AU246</f>
        <v>0</v>
      </c>
      <c r="M735" s="757">
        <f>'E-3 Off-Site Hedge Enhancement'!AO247</f>
        <v>0</v>
      </c>
      <c r="V735" s="1">
        <f>'F-3 Off-Site WaterC Enhancement'!AT244</f>
        <v>0</v>
      </c>
    </row>
    <row r="736" spans="1:22" x14ac:dyDescent="0.25">
      <c r="A736" s="757">
        <f>'D-3 Off-Site Habitat Enhancment'!AU247</f>
        <v>0</v>
      </c>
      <c r="M736" s="757">
        <f>'E-3 Off-Site Hedge Enhancement'!AO248</f>
        <v>0</v>
      </c>
      <c r="V736" s="1">
        <f>'F-3 Off-Site WaterC Enhancement'!AT245</f>
        <v>0</v>
      </c>
    </row>
    <row r="737" spans="1:22" x14ac:dyDescent="0.25">
      <c r="A737" s="757">
        <f>'D-3 Off-Site Habitat Enhancment'!AU248</f>
        <v>0</v>
      </c>
      <c r="M737" s="757">
        <f>'E-3 Off-Site Hedge Enhancement'!AO249</f>
        <v>0</v>
      </c>
      <c r="V737" s="1">
        <f>'F-3 Off-Site WaterC Enhancement'!AT246</f>
        <v>0</v>
      </c>
    </row>
    <row r="738" spans="1:22" x14ac:dyDescent="0.25">
      <c r="A738" s="757">
        <f>'D-3 Off-Site Habitat Enhancment'!AU249</f>
        <v>0</v>
      </c>
      <c r="M738" s="757">
        <f>'E-3 Off-Site Hedge Enhancement'!AO250</f>
        <v>0</v>
      </c>
      <c r="V738" s="1">
        <f>'F-3 Off-Site WaterC Enhancement'!AT247</f>
        <v>0</v>
      </c>
    </row>
    <row r="739" spans="1:22" x14ac:dyDescent="0.25">
      <c r="A739" s="757">
        <f>'D-3 Off-Site Habitat Enhancment'!AU250</f>
        <v>0</v>
      </c>
      <c r="M739" s="757">
        <f>'E-3 Off-Site Hedge Enhancement'!AO251</f>
        <v>0</v>
      </c>
      <c r="V739" s="1">
        <f>'F-3 Off-Site WaterC Enhancement'!AT248</f>
        <v>0</v>
      </c>
    </row>
    <row r="740" spans="1:22" x14ac:dyDescent="0.25">
      <c r="A740" s="757">
        <f>'D-3 Off-Site Habitat Enhancment'!AU251</f>
        <v>0</v>
      </c>
      <c r="M740" s="757">
        <f>'E-3 Off-Site Hedge Enhancement'!AO252</f>
        <v>0</v>
      </c>
      <c r="V740" s="1">
        <f>'F-3 Off-Site WaterC Enhancement'!AT249</f>
        <v>0</v>
      </c>
    </row>
    <row r="741" spans="1:22" x14ac:dyDescent="0.25">
      <c r="A741" s="757">
        <f>'D-3 Off-Site Habitat Enhancment'!AU252</f>
        <v>0</v>
      </c>
      <c r="M741" s="757">
        <f>'E-3 Off-Site Hedge Enhancement'!AO253</f>
        <v>0</v>
      </c>
      <c r="V741" s="1">
        <f>'F-3 Off-Site WaterC Enhancement'!AT250</f>
        <v>0</v>
      </c>
    </row>
    <row r="742" spans="1:22" x14ac:dyDescent="0.25">
      <c r="A742" s="757">
        <f>'D-3 Off-Site Habitat Enhancment'!AU253</f>
        <v>0</v>
      </c>
      <c r="M742" s="757">
        <f>'E-3 Off-Site Hedge Enhancement'!AO254</f>
        <v>0</v>
      </c>
      <c r="V742" s="1">
        <f>'F-3 Off-Site WaterC Enhancement'!AT251</f>
        <v>0</v>
      </c>
    </row>
    <row r="743" spans="1:22" x14ac:dyDescent="0.25">
      <c r="A743" s="757">
        <f>'D-3 Off-Site Habitat Enhancment'!AU254</f>
        <v>0</v>
      </c>
      <c r="M743" s="757">
        <f>'E-3 Off-Site Hedge Enhancement'!AO255</f>
        <v>0</v>
      </c>
      <c r="V743" s="1">
        <f>'F-3 Off-Site WaterC Enhancement'!AT252</f>
        <v>0</v>
      </c>
    </row>
    <row r="744" spans="1:22" x14ac:dyDescent="0.25">
      <c r="A744" s="757">
        <f>'D-3 Off-Site Habitat Enhancment'!AU255</f>
        <v>0</v>
      </c>
      <c r="M744" s="757">
        <f>'E-3 Off-Site Hedge Enhancement'!AO256</f>
        <v>0</v>
      </c>
      <c r="V744" s="1">
        <f>'F-3 Off-Site WaterC Enhancement'!AT253</f>
        <v>0</v>
      </c>
    </row>
    <row r="745" spans="1:22" x14ac:dyDescent="0.25">
      <c r="A745" s="757">
        <f>'D-3 Off-Site Habitat Enhancment'!AU256</f>
        <v>0</v>
      </c>
      <c r="M745" s="757">
        <f>'E-3 Off-Site Hedge Enhancement'!AO257</f>
        <v>0</v>
      </c>
      <c r="V745" s="1">
        <f>'F-3 Off-Site WaterC Enhancement'!AT254</f>
        <v>0</v>
      </c>
    </row>
    <row r="746" spans="1:22" x14ac:dyDescent="0.25">
      <c r="A746" s="757">
        <f>'D-3 Off-Site Habitat Enhancment'!AU257</f>
        <v>0</v>
      </c>
      <c r="M746" s="758"/>
      <c r="V746" s="1">
        <f>'F-3 Off-Site WaterC Enhancement'!AT255</f>
        <v>0</v>
      </c>
    </row>
    <row r="747" spans="1:22" x14ac:dyDescent="0.25">
      <c r="A747" s="757">
        <f>'D-3 Off-Site Habitat Enhancment'!AU258</f>
        <v>0</v>
      </c>
      <c r="V747" s="1">
        <f>'F-3 Off-Site WaterC Enhancement'!AT256</f>
        <v>0</v>
      </c>
    </row>
    <row r="748" spans="1:22" x14ac:dyDescent="0.25">
      <c r="A748" s="758"/>
      <c r="V748" s="1">
        <f>'F-3 Off-Site WaterC Enhancement'!AT257</f>
        <v>0</v>
      </c>
    </row>
    <row r="749" spans="1:22" x14ac:dyDescent="0.25">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D1" zoomScale="55" zoomScaleNormal="55" workbookViewId="0">
      <selection activeCell="H11" sqref="H11"/>
    </sheetView>
  </sheetViews>
  <sheetFormatPr defaultColWidth="0" defaultRowHeight="14.25" zeroHeight="1" x14ac:dyDescent="0.2"/>
  <cols>
    <col min="1" max="1" width="9.140625" style="35" hidden="1" customWidth="1"/>
    <col min="2" max="2" width="12.42578125" style="35" hidden="1" customWidth="1"/>
    <col min="3" max="3" width="14.42578125" style="35" hidden="1" customWidth="1"/>
    <col min="4" max="4" width="5.28515625" style="37" customWidth="1"/>
    <col min="5" max="5" width="24.28515625" style="37" customWidth="1"/>
    <col min="6" max="6" width="72.85546875" style="37" customWidth="1"/>
    <col min="7" max="7" width="25.42578125" style="35" hidden="1" customWidth="1"/>
    <col min="8" max="8" width="14.140625" style="37" customWidth="1"/>
    <col min="9" max="9" width="17.7109375" style="37" customWidth="1"/>
    <col min="10" max="10" width="7.42578125" style="37" customWidth="1"/>
    <col min="11" max="11" width="17.140625" style="37" customWidth="1"/>
    <col min="12" max="12" width="9.5703125" style="37" customWidth="1"/>
    <col min="13" max="13" width="41.7109375" style="37" customWidth="1"/>
    <col min="14" max="14" width="17.42578125" style="37" customWidth="1"/>
    <col min="15" max="15" width="17.140625" style="37" customWidth="1"/>
    <col min="16" max="16" width="30.7109375" style="37" customWidth="1"/>
    <col min="17" max="17" width="18" style="37" bestFit="1" customWidth="1"/>
    <col min="18" max="18" width="6" style="35" customWidth="1"/>
    <col min="19" max="19" width="10.140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140625" style="37" customWidth="1"/>
    <col min="27" max="27" width="41.7109375" style="37" customWidth="1"/>
    <col min="28" max="28" width="20.7109375" style="37" customWidth="1"/>
    <col min="29" max="46" width="12.7109375" style="35" hidden="1" customWidth="1"/>
    <col min="47" max="16379" width="12.7109375" style="35" customWidth="1"/>
    <col min="16380" max="16381" width="5.85546875" style="35" customWidth="1"/>
    <col min="16382" max="16382" width="6" style="35" customWidth="1"/>
    <col min="16383" max="16383" width="5.42578125" style="35" customWidth="1"/>
    <col min="16384" max="16384" width="16.140625" style="35" customWidth="1"/>
  </cols>
  <sheetData>
    <row r="1" spans="1:43" ht="15" thickBot="1" x14ac:dyDescent="0.25"/>
    <row r="2" spans="1:43" ht="18.75" thickBot="1" x14ac:dyDescent="0.3">
      <c r="D2" s="1430" t="str">
        <f>CONCATENATE("Project Name:", " ", Start!F12, "     ", "Map Reference:", " ", Start!F55)</f>
        <v xml:space="preserve">Project Name: Botley West Solar Farm     Map Reference: </v>
      </c>
      <c r="E2" s="1431"/>
      <c r="F2" s="1432"/>
      <c r="I2" s="1401" t="s">
        <v>263</v>
      </c>
      <c r="J2" s="1402"/>
      <c r="K2" s="1402"/>
      <c r="L2" s="1402"/>
      <c r="M2" s="1403"/>
      <c r="Q2" s="1420" t="str" cm="1">
        <f t="array" ref="Q2">IF(OR(K11:K258 = "Fairly Good", K11:K258 = "Fairly Poor"),"A 'Fairly' Category has been used - check evidence to ensure this is appropriate ⚠", "")</f>
        <v/>
      </c>
      <c r="R2" s="1420"/>
      <c r="S2" s="1420"/>
      <c r="T2" s="1420"/>
      <c r="U2" s="1420"/>
      <c r="V2" s="1420"/>
      <c r="W2" s="1420"/>
      <c r="X2" s="1420"/>
    </row>
    <row r="3" spans="1:43" ht="15.6" customHeight="1" x14ac:dyDescent="0.2">
      <c r="D3" s="1424" t="str">
        <f ca="1">MID(CELL("filename",C1),FIND("]",CELL("filename",C1))+1,256)</f>
        <v>A-1 On-Site Habitat Baseline</v>
      </c>
      <c r="E3" s="1425"/>
      <c r="F3" s="1426"/>
      <c r="I3" s="1439" t="s">
        <v>264</v>
      </c>
      <c r="J3" s="1440"/>
      <c r="K3" s="1440"/>
      <c r="L3" s="1433">
        <f ca="1">'Headline Results'!H47</f>
        <v>2079.2936185042022</v>
      </c>
      <c r="M3" s="1434"/>
      <c r="N3" s="735"/>
      <c r="Q3" s="1420"/>
      <c r="R3" s="1420"/>
      <c r="S3" s="1420"/>
      <c r="T3" s="1420"/>
      <c r="U3" s="1420"/>
      <c r="V3" s="1420"/>
      <c r="W3" s="1420"/>
      <c r="X3" s="1420"/>
      <c r="AC3" s="35" t="s">
        <v>265</v>
      </c>
      <c r="AD3" s="35" t="s">
        <v>265</v>
      </c>
      <c r="AE3" s="35" t="s">
        <v>265</v>
      </c>
      <c r="AF3" s="35" t="s">
        <v>265</v>
      </c>
      <c r="AG3" s="35" t="s">
        <v>265</v>
      </c>
      <c r="AH3" s="35" t="s">
        <v>265</v>
      </c>
      <c r="AI3" s="35" t="s">
        <v>265</v>
      </c>
      <c r="AJ3" s="35" t="s">
        <v>265</v>
      </c>
      <c r="AK3" s="35" t="s">
        <v>265</v>
      </c>
      <c r="AL3" s="35" t="s">
        <v>265</v>
      </c>
      <c r="AM3" s="35" t="s">
        <v>265</v>
      </c>
      <c r="AN3" s="35" t="s">
        <v>265</v>
      </c>
    </row>
    <row r="4" spans="1:43" ht="15" customHeight="1" thickBot="1" x14ac:dyDescent="0.25">
      <c r="D4" s="1427"/>
      <c r="E4" s="1428"/>
      <c r="F4" s="1429"/>
      <c r="I4" s="1441" t="s">
        <v>266</v>
      </c>
      <c r="J4" s="1442"/>
      <c r="K4" s="1442"/>
      <c r="L4" s="1435">
        <f ca="1">'Headline Results'!H51</f>
        <v>0.81283399226151964</v>
      </c>
      <c r="M4" s="1436"/>
      <c r="N4" s="735"/>
      <c r="Q4" s="1420"/>
      <c r="R4" s="1420"/>
      <c r="S4" s="1420"/>
      <c r="T4" s="1420"/>
      <c r="U4" s="1420"/>
      <c r="V4" s="1420"/>
      <c r="W4" s="1420"/>
      <c r="X4" s="1420"/>
      <c r="AF4" s="35" t="s">
        <v>267</v>
      </c>
      <c r="AG4" s="35" t="s">
        <v>267</v>
      </c>
      <c r="AH4" s="35" t="s">
        <v>267</v>
      </c>
      <c r="AI4" s="35" t="s">
        <v>267</v>
      </c>
      <c r="AJ4" s="35" t="s">
        <v>267</v>
      </c>
      <c r="AK4" s="35" t="s">
        <v>267</v>
      </c>
      <c r="AL4" s="35" t="s">
        <v>267</v>
      </c>
      <c r="AM4" s="35" t="s">
        <v>267</v>
      </c>
      <c r="AN4" s="35" t="s">
        <v>267</v>
      </c>
    </row>
    <row r="5" spans="1:43" ht="15.6" customHeight="1" thickBot="1" x14ac:dyDescent="0.25">
      <c r="I5" s="1443" t="s">
        <v>268</v>
      </c>
      <c r="J5" s="1437"/>
      <c r="K5" s="1437"/>
      <c r="L5" s="1437" t="str" cm="1">
        <f t="array" aca="1" ref="L5" ca="1">IF(OR('Trading Summary Area Habitats'!G5:G8="No ▲"), "No - check trading summaries ▲", "Yes ✓")</f>
        <v>Yes ✓</v>
      </c>
      <c r="M5" s="1438"/>
      <c r="N5" s="735"/>
      <c r="Q5" s="1420"/>
      <c r="R5" s="1420"/>
      <c r="S5" s="1420"/>
      <c r="T5" s="1420"/>
      <c r="U5" s="1420"/>
      <c r="V5" s="1420"/>
      <c r="W5" s="1420"/>
      <c r="X5" s="1420"/>
    </row>
    <row r="6" spans="1:43" ht="16.149999999999999" customHeight="1" x14ac:dyDescent="0.2">
      <c r="I6" s="1412" t="str" cm="1">
        <f t="array" ref="I6">IF(OR(E11:E258="watercourse footprint"),"Please ensure the watercourse details for any watercourse footprints recorded are included in the watercourse tabs ⚠","")</f>
        <v/>
      </c>
      <c r="J6" s="1412"/>
      <c r="K6" s="1412"/>
      <c r="L6" s="1412"/>
      <c r="M6" s="1412"/>
    </row>
    <row r="7" spans="1:43" x14ac:dyDescent="0.2">
      <c r="I7" s="1181"/>
      <c r="J7" s="1181"/>
      <c r="K7" s="1181"/>
      <c r="L7" s="1181"/>
      <c r="M7" s="1181"/>
    </row>
    <row r="8" spans="1:43" ht="31.15" customHeight="1" thickBot="1" x14ac:dyDescent="0.25">
      <c r="D8" s="38"/>
      <c r="E8" s="38"/>
      <c r="F8" s="38"/>
      <c r="I8" s="1413"/>
      <c r="J8" s="1413"/>
      <c r="K8" s="1413"/>
      <c r="L8" s="1413"/>
      <c r="M8" s="1413"/>
    </row>
    <row r="9" spans="1:43" ht="29.45" customHeight="1" thickBot="1" x14ac:dyDescent="0.25">
      <c r="D9" s="38"/>
      <c r="E9" s="1407" t="s">
        <v>269</v>
      </c>
      <c r="F9" s="1408"/>
      <c r="G9" s="1408"/>
      <c r="H9" s="1409"/>
      <c r="I9" s="1407" t="s">
        <v>270</v>
      </c>
      <c r="J9" s="1409"/>
      <c r="K9" s="1407" t="s">
        <v>271</v>
      </c>
      <c r="L9" s="1409"/>
      <c r="M9" s="1407" t="s">
        <v>272</v>
      </c>
      <c r="N9" s="1408"/>
      <c r="O9" s="1409"/>
      <c r="P9" s="1410" t="s">
        <v>273</v>
      </c>
      <c r="Q9" s="718" t="s">
        <v>274</v>
      </c>
      <c r="R9" s="39"/>
      <c r="S9" s="1404" t="s">
        <v>275</v>
      </c>
      <c r="T9" s="1405"/>
      <c r="U9" s="1405"/>
      <c r="V9" s="1405"/>
      <c r="W9" s="1405"/>
      <c r="X9" s="1406"/>
      <c r="Y9" s="1410" t="s">
        <v>276</v>
      </c>
      <c r="Z9" s="1404" t="s">
        <v>277</v>
      </c>
      <c r="AA9" s="1405"/>
      <c r="AB9" s="1406"/>
      <c r="AC9" s="35" t="s">
        <v>267</v>
      </c>
      <c r="AD9" s="35" t="s">
        <v>267</v>
      </c>
      <c r="AF9" s="40" t="s">
        <v>278</v>
      </c>
      <c r="AG9" s="40"/>
      <c r="AH9" s="40"/>
      <c r="AI9" s="40"/>
      <c r="AJ9" s="40"/>
      <c r="AK9" s="40" t="s">
        <v>279</v>
      </c>
      <c r="AL9" s="40"/>
      <c r="AM9" s="40"/>
      <c r="AN9" s="40"/>
      <c r="AQ9" s="35" t="s">
        <v>280</v>
      </c>
    </row>
    <row r="10" spans="1:43" ht="44.25" customHeight="1" thickBot="1" x14ac:dyDescent="0.25">
      <c r="B10" s="41" t="s">
        <v>281</v>
      </c>
      <c r="D10" s="44" t="s">
        <v>282</v>
      </c>
      <c r="E10" s="476" t="s">
        <v>283</v>
      </c>
      <c r="F10" s="477" t="s">
        <v>284</v>
      </c>
      <c r="G10" s="728" t="s">
        <v>285</v>
      </c>
      <c r="H10" s="43" t="s">
        <v>286</v>
      </c>
      <c r="I10" s="44" t="s">
        <v>270</v>
      </c>
      <c r="J10" s="43" t="s">
        <v>287</v>
      </c>
      <c r="K10" s="44" t="s">
        <v>271</v>
      </c>
      <c r="L10" s="43" t="s">
        <v>287</v>
      </c>
      <c r="M10" s="44" t="s">
        <v>272</v>
      </c>
      <c r="N10" s="292" t="s">
        <v>272</v>
      </c>
      <c r="O10" s="43" t="s">
        <v>288</v>
      </c>
      <c r="P10" s="1411"/>
      <c r="Q10" s="42" t="s">
        <v>289</v>
      </c>
      <c r="R10" s="39"/>
      <c r="S10" s="45" t="s">
        <v>290</v>
      </c>
      <c r="T10" s="46" t="s">
        <v>291</v>
      </c>
      <c r="U10" s="47" t="s">
        <v>292</v>
      </c>
      <c r="V10" s="47" t="s">
        <v>293</v>
      </c>
      <c r="W10" s="47" t="s">
        <v>294</v>
      </c>
      <c r="X10" s="48" t="s">
        <v>295</v>
      </c>
      <c r="Y10" s="1411"/>
      <c r="Z10" s="49" t="s">
        <v>296</v>
      </c>
      <c r="AA10" s="524" t="s">
        <v>297</v>
      </c>
      <c r="AB10" s="48" t="s">
        <v>298</v>
      </c>
      <c r="AC10" s="733" t="s">
        <v>299</v>
      </c>
      <c r="AD10" s="733" t="s">
        <v>300</v>
      </c>
      <c r="AF10" s="40" t="s">
        <v>301</v>
      </c>
      <c r="AG10" s="40" t="s">
        <v>302</v>
      </c>
      <c r="AH10" s="40" t="s">
        <v>303</v>
      </c>
      <c r="AI10" s="40" t="s">
        <v>304</v>
      </c>
      <c r="AJ10" s="40"/>
      <c r="AK10" s="40" t="s">
        <v>301</v>
      </c>
      <c r="AL10" s="40" t="s">
        <v>302</v>
      </c>
      <c r="AM10" s="40" t="s">
        <v>303</v>
      </c>
      <c r="AN10" s="40"/>
    </row>
    <row r="11" spans="1:43" ht="42.75" x14ac:dyDescent="0.2">
      <c r="A11" s="35" t="str">
        <f>IFERROR(INDEX('G-1 All Habitats'!$AG$3:$AG$17,MATCH(E11,'G-1 All Habitats'!$AF$3:$AF$17,0)),"")</f>
        <v>Cropland</v>
      </c>
      <c r="B11" s="35" t="str">
        <f>IFERROR(INDEX('G-8 Condition Look up'!$I$4:$I$135,MATCH(G11,'G-8 Condition Look up'!$A$4:$A$135,0)),"")</f>
        <v>Cond1</v>
      </c>
      <c r="D11" s="787">
        <v>1</v>
      </c>
      <c r="E11" s="812" t="s">
        <v>124</v>
      </c>
      <c r="F11" s="51" t="s">
        <v>470</v>
      </c>
      <c r="G11" s="788" t="str">
        <f>IFERROR(INDEX('G-1 All Habitats'!$B$3:$B$134,MATCH(F11,'G-1 All Habitats'!$A$3:$A$134,0)),"")</f>
        <v>Cropland - Arable field margins game bird mix</v>
      </c>
      <c r="H11" s="789">
        <v>0.44128759662646738</v>
      </c>
      <c r="I11" s="443" t="str">
        <f>IF(G11="","",VLOOKUP(G11,'G-1 All Habitats'!$B$2:$M$134,10,FALSE))</f>
        <v>Medium</v>
      </c>
      <c r="J11" s="790">
        <f>IFERROR(VLOOKUP(I11,'G-1 All Habitats'!$V$3:$W$7,2,FALSE),"")</f>
        <v>4</v>
      </c>
      <c r="K11" s="791" t="s">
        <v>493</v>
      </c>
      <c r="L11" s="790">
        <f>IFERROR(INDEX('G-8 Condition Look up'!$A$3:$H$135,MATCH(G11,'G-8 Condition Look up'!$A$3:$A$135,0),MATCH(K11,'G-8 Condition Look up'!$A$3:$H$3,0)),"")</f>
        <v>1</v>
      </c>
      <c r="M11" s="54" t="s">
        <v>1037</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broad habitat or a higher distinctiveness habitat required (≥)</v>
      </c>
      <c r="Q11" s="794">
        <f>IFERROR(IF(P11="","",IF(AND(P11='G-1 All Habitats'!$X$3,T11&gt;0),U11+V11,IF(AND(P11='G-1 All Habitats'!$X$3,S11&gt;0),U11+V11,IF(AND(P11='G-1 All Habitats'!$X$3,AC11&gt;0),"Any Loss Unacceptable ⚠",IF(AND(P11='G-1 All Habitats'!$X$3,W11&gt;0),"Any Loss Unacceptable ⚠",H11*J11*L11*O11))))),"Check Data ▲")</f>
        <v>1.7651503865058695</v>
      </c>
      <c r="R11" s="36"/>
      <c r="S11" s="791">
        <v>4.6578504921981683E-3</v>
      </c>
      <c r="T11" s="801">
        <v>0</v>
      </c>
      <c r="U11" s="802">
        <f>IFERROR(S11*J11*L11*O11,"")</f>
        <v>1.8631401968792673E-2</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0.43662974613426919</v>
      </c>
      <c r="X11" s="803">
        <f>IFERROR(IF(H11="","",IF(H11-S11-T11=0&lt;0,"Error in Areas ▲",IF(S11+T11&gt;H11,"Error in Areas ▲",IF(AND(P11='G-1 All Habitats'!$X$3,Y11="Yes"),"Alternative Compensation ✓",IF(W11=0,0,IF(P11='G-1 All Habitats'!$X$3,"Any Loss Unacceptable ▲",Q11-U11-V11)))))),"Check Data ▲")</f>
        <v>1.7465189845370768</v>
      </c>
      <c r="Y11" s="801"/>
      <c r="Z11" s="56" t="s">
        <v>1684</v>
      </c>
      <c r="AA11" s="525"/>
      <c r="AB11" s="137"/>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f t="array" ref="AL11">IFERROR(INDEX($AI$11:$AI$259, MATCH(0, IF(TRUE=$AG$11:$AG$259, COUNTIF($AL$10:$AL10, $AI$11:$AI$259), ""), 0)),"")</f>
        <v>15</v>
      </c>
      <c r="AM11" s="40" t="str">
        <f t="array" ref="AM11">IFERROR(INDEX($AI$11:$AI$259, MATCH(0, IF(TRUE=$AH$11:$AH$259, COUNTIF($AM$10:$AM10, $AI$11:$AI$259), ""), 0)),"")</f>
        <v/>
      </c>
      <c r="AN11" s="40"/>
      <c r="AQ11" s="35">
        <f>IF(X11="Unacceptable Loss",1,0)</f>
        <v>0</v>
      </c>
    </row>
    <row r="12" spans="1:43" ht="42.75" x14ac:dyDescent="0.2">
      <c r="A12" s="35" t="str">
        <f>IFERROR(INDEX('G-1 All Habitats'!$AG$3:$AG$17,MATCH(E12,'G-1 All Habitats'!$AF$3:$AF$17,0)),"")</f>
        <v>Cropland</v>
      </c>
      <c r="B12" s="35" t="str">
        <f>IFERROR(INDEX('G-8 Condition Look up'!$I$4:$I$135,MATCH(G12,'G-8 Condition Look up'!$A$4:$A$135,0)),"")</f>
        <v>Cond1</v>
      </c>
      <c r="D12" s="287">
        <v>2</v>
      </c>
      <c r="E12" s="892" t="s">
        <v>124</v>
      </c>
      <c r="F12" s="61" t="s">
        <v>478</v>
      </c>
      <c r="G12" s="52" t="str">
        <f>IFERROR(INDEX('G-1 All Habitats'!$B$3:$B$134,MATCH(F12,'G-1 All Habitats'!$A$3:$A$134,0)),"")</f>
        <v>Cropland - Arable field margins tussocky</v>
      </c>
      <c r="H12" s="53">
        <v>2.0011045622841146</v>
      </c>
      <c r="I12" s="362" t="str">
        <f>IF(G12="","",VLOOKUP(G12,'G-1 All Habitats'!$B$2:$M$134,10,FALSE))</f>
        <v>Medium</v>
      </c>
      <c r="J12" s="363">
        <f>IFERROR(VLOOKUP(I12,'G-1 All Habitats'!$V$3:$W$7,2,FALSE),"")</f>
        <v>4</v>
      </c>
      <c r="K12" s="54" t="s">
        <v>493</v>
      </c>
      <c r="L12" s="363">
        <f>IFERROR(INDEX('G-8 Condition Look up'!$A$3:$H$135,MATCH(G12,'G-8 Condition Look up'!$A$3:$A$135,0),MATCH(K12,'G-8 Condition Look up'!$A$3:$H$3,0)),"")</f>
        <v>1</v>
      </c>
      <c r="M12" s="54" t="s">
        <v>1037</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broad habitat or a higher distinctiveness habitat required (≥)</v>
      </c>
      <c r="Q12" s="376">
        <f>IFERROR(IF(P12="","",IF(AND(P12='G-1 All Habitats'!$X$3,T12&gt;0),U12+V12,IF(AND(P12='G-1 All Habitats'!$X$3,S12&gt;0),U12+V12,IF(AND(P12='G-1 All Habitats'!$X$3,AC12&gt;0),"Any Loss Unacceptable ⚠",IF(AND(P12='G-1 All Habitats'!$X$3,W12&gt;0),"Any Loss Unacceptable ⚠",H12*J12*L12*O12))))),"Check Data ▲")</f>
        <v>8.0044182491364584</v>
      </c>
      <c r="R12" s="38"/>
      <c r="S12" s="54">
        <v>0.24797136931047892</v>
      </c>
      <c r="T12" s="55">
        <v>0</v>
      </c>
      <c r="U12" s="374">
        <f>IFERROR(S12*J12*L12*O12,"")</f>
        <v>0.99188547724191567</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1.7531331929736358</v>
      </c>
      <c r="X12" s="378">
        <f>IFERROR(IF(H12="","",IF(H12-S12-T12=0&lt;0,"Error in Areas ▲",IF(S12+T12&gt;H12,"Error in Areas ▲",IF(AND(P12='G-1 All Habitats'!$X$3,Y12="Yes"),"Alternative Compensation ✓",IF(W12=0,0,IF(P12='G-1 All Habitats'!$X$3,"Any Loss Unacceptable ▲",Q12-U12-V12)))))),"Check Data ▲")</f>
        <v>7.0125327718945432</v>
      </c>
      <c r="Y12" s="55"/>
      <c r="Z12" s="62" t="s">
        <v>1684</v>
      </c>
      <c r="AA12" s="526"/>
      <c r="AB12" s="120"/>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2</v>
      </c>
      <c r="AL12" s="40">
        <f t="array" ref="AL12">IFERROR(INDEX($AI$11:$AI$259, MATCH(0, IF(TRUE=$AG$11:$AG$259, COUNTIF($AL$10:$AL11, $AI$11:$AI$259), ""), 0)),"")</f>
        <v>16</v>
      </c>
      <c r="AM12" s="40" t="str">
        <f t="array" ref="AM12">IFERROR(INDEX($AI$11:$AI$259, MATCH(0, IF(TRUE=$AH$11:$AH$259, COUNTIF($AM$10:$AM11, $AI$11:$AI$259), ""), 0)),"")</f>
        <v/>
      </c>
      <c r="AN12" s="40"/>
      <c r="AQ12" s="35">
        <f t="shared" ref="AQ12:AQ75" si="2">IF(X12="Unacceptable Loss",1,0)</f>
        <v>0</v>
      </c>
    </row>
    <row r="13" spans="1:43" ht="28.5" x14ac:dyDescent="0.2">
      <c r="A13" s="35" t="str">
        <f>IFERROR(INDEX('G-1 All Habitats'!$AG$3:$AG$17,MATCH(E13,'G-1 All Habitats'!$AF$3:$AF$17,0)),"")</f>
        <v>Cropland</v>
      </c>
      <c r="B13" s="35" t="str">
        <f>IFERROR(INDEX('G-8 Condition Look up'!$I$4:$I$135,MATCH(G13,'G-8 Condition Look up'!$A$4:$A$135,0)),"")</f>
        <v>Cond1</v>
      </c>
      <c r="D13" s="287">
        <v>3</v>
      </c>
      <c r="E13" s="267" t="s">
        <v>124</v>
      </c>
      <c r="F13" s="61" t="s">
        <v>484</v>
      </c>
      <c r="G13" s="52" t="str">
        <f>IFERROR(INDEX('G-1 All Habitats'!$B$3:$B$134,MATCH(F13,'G-1 All Habitats'!$A$3:$A$134,0)),"")</f>
        <v>Cropland - Cereal crops</v>
      </c>
      <c r="H13" s="53">
        <v>932.5772868115414</v>
      </c>
      <c r="I13" s="362" t="str">
        <f>IF(G13="","",VLOOKUP(G13,'G-1 All Habitats'!$B$2:$M$134,10,FALSE))</f>
        <v>Low</v>
      </c>
      <c r="J13" s="363">
        <f>IFERROR(VLOOKUP(I13,'G-1 All Habitats'!$V$3:$W$7,2,FALSE),"")</f>
        <v>2</v>
      </c>
      <c r="K13" s="54" t="s">
        <v>493</v>
      </c>
      <c r="L13" s="363">
        <f>IFERROR(INDEX('G-8 Condition Look up'!$A$3:$H$135,MATCH(G13,'G-8 Condition Look up'!$A$3:$A$135,0),MATCH(K13,'G-8 Condition Look up'!$A$3:$H$3,0)),"")</f>
        <v>1</v>
      </c>
      <c r="M13" s="54" t="s">
        <v>1037</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1865.1545736230828</v>
      </c>
      <c r="R13" s="38"/>
      <c r="S13" s="54">
        <v>2.6393095491256622</v>
      </c>
      <c r="T13" s="55">
        <v>0</v>
      </c>
      <c r="U13" s="374">
        <f t="shared" ref="U13:U76" si="3">IFERROR(S13*J13*L13*O13,"")</f>
        <v>5.2786190982513244</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929.93797726241576</v>
      </c>
      <c r="X13" s="378">
        <f>IFERROR(IF(H13="","",IF(H13-S13-T13=0&lt;0,"Error in Areas ▲",IF(S13+T13&gt;H13,"Error in Areas ▲",IF(AND(P13='G-1 All Habitats'!$X$3,Y13="Yes"),"Alternative Compensation ✓",IF(W13=0,0,IF(P13='G-1 All Habitats'!$X$3,"Any Loss Unacceptable ▲",Q13-U13-V13)))))),"Check Data ▲")</f>
        <v>1859.8759545248315</v>
      </c>
      <c r="Y13" s="55"/>
      <c r="Z13" s="62" t="s">
        <v>1684</v>
      </c>
      <c r="AA13" s="526"/>
      <c r="AB13" s="120"/>
      <c r="AC13" s="726" t="str">
        <f>IF(P13="","",IF(P13='G-1 All Habitats'!$X$3,H13-S13-T13,"None"))</f>
        <v>None</v>
      </c>
      <c r="AD13" s="727" t="str">
        <f>IF(P13="","", IF(P13='G-1 All Habitats'!$X$3, AC13*J13*L13*O13,"None"))</f>
        <v>None</v>
      </c>
      <c r="AF13" s="40" t="b">
        <f t="shared" si="0"/>
        <v>1</v>
      </c>
      <c r="AG13" s="40" t="b">
        <f t="shared" si="1"/>
        <v>0</v>
      </c>
      <c r="AH13" s="40" t="e">
        <f>IF(I13="","",IF(#REF!&gt;0,TRUE,FALSE))</f>
        <v>#REF!</v>
      </c>
      <c r="AI13" s="40">
        <v>3</v>
      </c>
      <c r="AJ13" s="40"/>
      <c r="AK13" s="40">
        <f t="array" ref="AK13">IFERROR(INDEX($AI$11:$AI$259, MATCH(0, IF(TRUE=$AF$11:$AF$259, COUNTIF($AK$10:$AK12, $AI$11:$AI$259), ""), 0)),"")</f>
        <v>3</v>
      </c>
      <c r="AL13" s="40">
        <f t="array" ref="AL13">IFERROR(INDEX($AI$11:$AI$259, MATCH(0, IF(TRUE=$AG$11:$AG$259, COUNTIF($AL$10:$AL12, $AI$11:$AI$259), ""), 0)),"")</f>
        <v>17</v>
      </c>
      <c r="AM13" s="40" t="str">
        <f t="array" ref="AM13">IFERROR(INDEX($AI$11:$AI$259, MATCH(0, IF(TRUE=$AH$11:$AH$259, COUNTIF($AM$10:$AM12, $AI$11:$AI$259), ""), 0)),"")</f>
        <v/>
      </c>
      <c r="AN13" s="40"/>
      <c r="AQ13" s="35">
        <f t="shared" si="2"/>
        <v>0</v>
      </c>
    </row>
    <row r="14" spans="1:43" ht="28.5" x14ac:dyDescent="0.2">
      <c r="A14" s="35" t="str">
        <f>IFERROR(INDEX('G-1 All Habitats'!$AG$3:$AG$17,MATCH(E14,'G-1 All Habitats'!$AF$3:$AF$17,0)),"")</f>
        <v>Grassland</v>
      </c>
      <c r="B14" s="35" t="str">
        <f>IFERROR(INDEX('G-8 Condition Look up'!$I$4:$I$135,MATCH(G14,'G-8 Condition Look up'!$A$4:$A$135,0)),"")</f>
        <v>Cond4</v>
      </c>
      <c r="D14" s="287">
        <v>4</v>
      </c>
      <c r="E14" s="267" t="s">
        <v>125</v>
      </c>
      <c r="F14" s="61" t="s">
        <v>540</v>
      </c>
      <c r="G14" s="52" t="str">
        <f>IFERROR(INDEX('G-1 All Habitats'!$B$3:$B$134,MATCH(F14,'G-1 All Habitats'!$A$3:$A$134,0)),"")</f>
        <v>Grassland - Modified grassland</v>
      </c>
      <c r="H14" s="53">
        <v>55.091948261317846</v>
      </c>
      <c r="I14" s="362" t="str">
        <f>IF(G14="","",VLOOKUP(G14,'G-1 All Habitats'!$B$2:$M$134,10,FALSE))</f>
        <v>Low</v>
      </c>
      <c r="J14" s="363">
        <f>IFERROR(VLOOKUP(I14,'G-1 All Habitats'!$V$3:$W$7,2,FALSE),"")</f>
        <v>2</v>
      </c>
      <c r="K14" s="54" t="s">
        <v>329</v>
      </c>
      <c r="L14" s="363">
        <f>IFERROR(INDEX('G-8 Condition Look up'!$A$3:$H$135,MATCH(G14,'G-8 Condition Look up'!$A$3:$A$135,0),MATCH(K14,'G-8 Condition Look up'!$A$3:$H$3,0)),"")</f>
        <v>1</v>
      </c>
      <c r="M14" s="54" t="s">
        <v>1037</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110.18389652263569</v>
      </c>
      <c r="R14" s="38"/>
      <c r="S14" s="54">
        <v>2.7401539972701858</v>
      </c>
      <c r="T14" s="55">
        <v>0</v>
      </c>
      <c r="U14" s="374">
        <f t="shared" si="3"/>
        <v>5.4803079945403717</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52.351794264047662</v>
      </c>
      <c r="X14" s="378">
        <f>IFERROR(IF(H14="","",IF(H14-S14-T14=0&lt;0,"Error in Areas ▲",IF(S14+T14&gt;H14,"Error in Areas ▲",IF(AND(P14='G-1 All Habitats'!$X$3,Y14="Yes"),"Alternative Compensation ✓",IF(W14=0,0,IF(P14='G-1 All Habitats'!$X$3,"Any Loss Unacceptable ▲",Q14-U14-V14)))))),"Check Data ▲")</f>
        <v>104.70358852809532</v>
      </c>
      <c r="Y14" s="55"/>
      <c r="Z14" s="62" t="s">
        <v>1684</v>
      </c>
      <c r="AA14" s="526"/>
      <c r="AB14" s="120"/>
      <c r="AC14" s="726" t="str">
        <f>IF(P14="","",IF(P14='G-1 All Habitats'!$X$3,H14-S14-T14,"None"))</f>
        <v>None</v>
      </c>
      <c r="AD14" s="727" t="str">
        <f>IF(P14="","", IF(P14='G-1 All Habitats'!$X$3, AC14*J14*L14*O14,"None"))</f>
        <v>None</v>
      </c>
      <c r="AF14" s="40" t="b">
        <f t="shared" si="0"/>
        <v>1</v>
      </c>
      <c r="AG14" s="40" t="b">
        <f t="shared" si="1"/>
        <v>0</v>
      </c>
      <c r="AH14" s="40" t="e">
        <f>IF(I14="","",IF(#REF!&gt;0,TRUE,FALSE))</f>
        <v>#REF!</v>
      </c>
      <c r="AI14" s="40">
        <v>4</v>
      </c>
      <c r="AJ14" s="40"/>
      <c r="AK14" s="40">
        <f t="array" ref="AK14">IFERROR(INDEX($AI$11:$AI$259, MATCH(0, IF(TRUE=$AF$11:$AF$259, COUNTIF($AK$10:$AK13, $AI$11:$AI$259), ""), 0)),"")</f>
        <v>4</v>
      </c>
      <c r="AL14" s="40">
        <f t="array" ref="AL14">IFERROR(INDEX($AI$11:$AI$259, MATCH(0, IF(TRUE=$AG$11:$AG$259, COUNTIF($AL$10:$AL13, $AI$11:$AI$259), ""), 0)),"")</f>
        <v>18</v>
      </c>
      <c r="AM14" s="40" t="str">
        <f t="array" ref="AM14">IFERROR(INDEX($AI$11:$AI$259, MATCH(0, IF(TRUE=$AH$11:$AH$259, COUNTIF($AM$10:$AM13, $AI$11:$AI$259), ""), 0)),"")</f>
        <v/>
      </c>
      <c r="AN14" s="40"/>
      <c r="AQ14" s="35">
        <f t="shared" si="2"/>
        <v>0</v>
      </c>
    </row>
    <row r="15" spans="1:43" ht="28.5" x14ac:dyDescent="0.2">
      <c r="A15" s="35" t="str">
        <f>IFERROR(INDEX('G-1 All Habitats'!$AG$3:$AG$17,MATCH(E15,'G-1 All Habitats'!$AF$3:$AF$17,0)),"")</f>
        <v>Grassland</v>
      </c>
      <c r="B15" s="35" t="str">
        <f>IFERROR(INDEX('G-8 Condition Look up'!$I$4:$I$135,MATCH(G15,'G-8 Condition Look up'!$A$4:$A$135,0)),"")</f>
        <v>Cond4</v>
      </c>
      <c r="D15" s="287">
        <v>5</v>
      </c>
      <c r="E15" s="267" t="s">
        <v>125</v>
      </c>
      <c r="F15" s="61" t="s">
        <v>540</v>
      </c>
      <c r="G15" s="52" t="str">
        <f>IFERROR(INDEX('G-1 All Habitats'!$B$3:$B$134,MATCH(F15,'G-1 All Habitats'!$A$3:$A$134,0)),"")</f>
        <v>Grassland - Modified grassland</v>
      </c>
      <c r="H15" s="53">
        <v>2.8687065527615392</v>
      </c>
      <c r="I15" s="362" t="str">
        <f>IF(G15="","",VLOOKUP(G15,'G-1 All Habitats'!$B$2:$M$134,10,FALSE))</f>
        <v>Low</v>
      </c>
      <c r="J15" s="363">
        <f>IFERROR(VLOOKUP(I15,'G-1 All Habitats'!$V$3:$W$7,2,FALSE),"")</f>
        <v>2</v>
      </c>
      <c r="K15" s="54" t="s">
        <v>67</v>
      </c>
      <c r="L15" s="363">
        <f>IFERROR(INDEX('G-8 Condition Look up'!$A$3:$H$135,MATCH(G15,'G-8 Condition Look up'!$A$3:$A$135,0),MATCH(K15,'G-8 Condition Look up'!$A$3:$H$3,0)),"")</f>
        <v>2</v>
      </c>
      <c r="M15" s="54" t="s">
        <v>1037</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11.474826211046157</v>
      </c>
      <c r="R15" s="38"/>
      <c r="S15" s="54">
        <v>4.7205231206945879E-3</v>
      </c>
      <c r="T15" s="55">
        <v>0</v>
      </c>
      <c r="U15" s="374">
        <f t="shared" si="3"/>
        <v>1.8882092482778352E-2</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2.8639860296408446</v>
      </c>
      <c r="X15" s="378">
        <f>IFERROR(IF(H15="","",IF(H15-S15-T15=0&lt;0,"Error in Areas ▲",IF(S15+T15&gt;H15,"Error in Areas ▲",IF(AND(P15='G-1 All Habitats'!$X$3,Y15="Yes"),"Alternative Compensation ✓",IF(W15=0,0,IF(P15='G-1 All Habitats'!$X$3,"Any Loss Unacceptable ▲",Q15-U15-V15)))))),"Check Data ▲")</f>
        <v>11.455944118563378</v>
      </c>
      <c r="Y15" s="55"/>
      <c r="Z15" s="62" t="s">
        <v>1684</v>
      </c>
      <c r="AA15" s="526"/>
      <c r="AB15" s="120"/>
      <c r="AC15" s="726" t="str">
        <f>IF(P15="","",IF(P15='G-1 All Habitats'!$X$3,H15-S15-T15,"None"))</f>
        <v>None</v>
      </c>
      <c r="AD15" s="727" t="str">
        <f>IF(P15="","", IF(P15='G-1 All Habitats'!$X$3, AC15*J15*L15*O15,"None"))</f>
        <v>None</v>
      </c>
      <c r="AF15" s="40" t="b">
        <f t="shared" si="0"/>
        <v>1</v>
      </c>
      <c r="AG15" s="40" t="b">
        <f t="shared" si="1"/>
        <v>0</v>
      </c>
      <c r="AH15" s="40" t="e">
        <f>IF(I15="","",IF(#REF!&gt;0,TRUE,FALSE))</f>
        <v>#REF!</v>
      </c>
      <c r="AI15" s="40">
        <v>5</v>
      </c>
      <c r="AJ15" s="40"/>
      <c r="AK15" s="40">
        <f t="array" ref="AK15">IFERROR(INDEX($AI$11:$AI$259, MATCH(0, IF(TRUE=$AF$11:$AF$259, COUNTIF($AK$10:$AK14, $AI$11:$AI$259), ""), 0)),"")</f>
        <v>5</v>
      </c>
      <c r="AL15" s="40">
        <f t="array" ref="AL15">IFERROR(INDEX($AI$11:$AI$259, MATCH(0, IF(TRUE=$AG$11:$AG$259, COUNTIF($AL$10:$AL14, $AI$11:$AI$259), ""), 0)),"")</f>
        <v>32</v>
      </c>
      <c r="AM15" s="40" t="str">
        <f t="array" ref="AM15">IFERROR(INDEX($AI$11:$AI$259, MATCH(0, IF(TRUE=$AH$11:$AH$259, COUNTIF($AM$10:$AM14, $AI$11:$AI$259), ""), 0)),"")</f>
        <v/>
      </c>
      <c r="AN15" s="40"/>
      <c r="AQ15" s="35">
        <f t="shared" si="2"/>
        <v>0</v>
      </c>
    </row>
    <row r="16" spans="1:43" ht="42.75" x14ac:dyDescent="0.2">
      <c r="A16" s="35" t="str">
        <f>IFERROR(INDEX('G-1 All Habitats'!$AG$3:$AG$17,MATCH(E16,'G-1 All Habitats'!$AF$3:$AF$17,0)),"")</f>
        <v>Grassland</v>
      </c>
      <c r="B16" s="35" t="str">
        <f>IFERROR(INDEX('G-8 Condition Look up'!$I$4:$I$135,MATCH(G16,'G-8 Condition Look up'!$A$4:$A$135,0)),"")</f>
        <v>Cond4</v>
      </c>
      <c r="D16" s="287">
        <v>6</v>
      </c>
      <c r="E16" s="267" t="s">
        <v>125</v>
      </c>
      <c r="F16" s="61" t="s">
        <v>547</v>
      </c>
      <c r="G16" s="52" t="str">
        <f>IFERROR(INDEX('G-1 All Habitats'!$B$3:$B$134,MATCH(F16,'G-1 All Habitats'!$A$3:$A$134,0)),"")</f>
        <v>Grassland - Other neutral grassland</v>
      </c>
      <c r="H16" s="53">
        <v>3.5361656709304135</v>
      </c>
      <c r="I16" s="362" t="str">
        <f>IF(G16="","",VLOOKUP(G16,'G-1 All Habitats'!$B$2:$M$134,10,FALSE))</f>
        <v>Medium</v>
      </c>
      <c r="J16" s="363">
        <f>IFERROR(VLOOKUP(I16,'G-1 All Habitats'!$V$3:$W$7,2,FALSE),"")</f>
        <v>4</v>
      </c>
      <c r="K16" s="54" t="s">
        <v>329</v>
      </c>
      <c r="L16" s="363">
        <f>IFERROR(INDEX('G-8 Condition Look up'!$A$3:$H$135,MATCH(G16,'G-8 Condition Look up'!$A$3:$A$135,0),MATCH(K16,'G-8 Condition Look up'!$A$3:$H$3,0)),"")</f>
        <v>1</v>
      </c>
      <c r="M16" s="54" t="s">
        <v>1037</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Same broad habitat or a higher distinctiveness habitat required (≥)</v>
      </c>
      <c r="Q16" s="376">
        <f>IFERROR(IF(P16="","",IF(AND(P16='G-1 All Habitats'!$X$3,T16&gt;0),U16+V16,IF(AND(P16='G-1 All Habitats'!$X$3,S16&gt;0),U16+V16,IF(AND(P16='G-1 All Habitats'!$X$3,AC16&gt;0),"Any Loss Unacceptable ⚠",IF(AND(P16='G-1 All Habitats'!$X$3,W16&gt;0),"Any Loss Unacceptable ⚠",H16*J16*L16*O16))))),"Check Data ▲")</f>
        <v>14.144662683721654</v>
      </c>
      <c r="R16" s="38"/>
      <c r="S16" s="54">
        <v>7.9638060332717607E-3</v>
      </c>
      <c r="T16" s="55">
        <v>0</v>
      </c>
      <c r="U16" s="374">
        <f t="shared" si="3"/>
        <v>3.1855224133087043E-2</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3.5282018648971416</v>
      </c>
      <c r="X16" s="378">
        <f>IFERROR(IF(H16="","",IF(H16-S16-T16=0&lt;0,"Error in Areas ▲",IF(S16+T16&gt;H16,"Error in Areas ▲",IF(AND(P16='G-1 All Habitats'!$X$3,Y16="Yes"),"Alternative Compensation ✓",IF(W16=0,0,IF(P16='G-1 All Habitats'!$X$3,"Any Loss Unacceptable ▲",Q16-U16-V16)))))),"Check Data ▲")</f>
        <v>14.112807459588566</v>
      </c>
      <c r="Y16" s="55"/>
      <c r="Z16" s="62" t="s">
        <v>1684</v>
      </c>
      <c r="AA16" s="526"/>
      <c r="AB16" s="120"/>
      <c r="AC16" s="726" t="str">
        <f>IF(P16="","",IF(P16='G-1 All Habitats'!$X$3,H16-S16-T16,"None"))</f>
        <v>None</v>
      </c>
      <c r="AD16" s="727" t="str">
        <f>IF(P16="","", IF(P16='G-1 All Habitats'!$X$3, AC16*J16*L16*O16,"None"))</f>
        <v>None</v>
      </c>
      <c r="AF16" s="40" t="b">
        <f t="shared" si="0"/>
        <v>1</v>
      </c>
      <c r="AG16" s="40" t="b">
        <f t="shared" si="1"/>
        <v>0</v>
      </c>
      <c r="AH16" s="40" t="e">
        <f>IF(I16="","",IF(#REF!&gt;0,TRUE,FALSE))</f>
        <v>#REF!</v>
      </c>
      <c r="AI16" s="40">
        <v>6</v>
      </c>
      <c r="AJ16" s="40"/>
      <c r="AK16" s="40">
        <f t="array" ref="AK16">IFERROR(INDEX($AI$11:$AI$259, MATCH(0, IF(TRUE=$AF$11:$AF$259, COUNTIF($AK$10:$AK15, $AI$11:$AI$259), ""), 0)),"")</f>
        <v>6</v>
      </c>
      <c r="AL16" s="40">
        <f t="array" ref="AL16">IFERROR(INDEX($AI$11:$AI$259, MATCH(0, IF(TRUE=$AG$11:$AG$259, COUNTIF($AL$10:$AL15, $AI$11:$AI$259), ""), 0)),"")</f>
        <v>33</v>
      </c>
      <c r="AM16" s="40" t="str">
        <f t="array" ref="AM16">IFERROR(INDEX($AI$11:$AI$259, MATCH(0, IF(TRUE=$AH$11:$AH$259, COUNTIF($AM$10:$AM15, $AI$11:$AI$259), ""), 0)),"")</f>
        <v/>
      </c>
      <c r="AN16" s="40"/>
      <c r="AQ16" s="35">
        <f t="shared" si="2"/>
        <v>0</v>
      </c>
    </row>
    <row r="17" spans="1:43" ht="42.75" x14ac:dyDescent="0.2">
      <c r="A17" s="35" t="str">
        <f>IFERROR(INDEX('G-1 All Habitats'!$AG$3:$AG$17,MATCH(E17,'G-1 All Habitats'!$AF$3:$AF$17,0)),"")</f>
        <v>Heathland_and_shrub</v>
      </c>
      <c r="B17" s="35" t="str">
        <f>IFERROR(INDEX('G-8 Condition Look up'!$I$4:$I$135,MATCH(G17,'G-8 Condition Look up'!$A$4:$A$135,0)),"")</f>
        <v>Cond4</v>
      </c>
      <c r="D17" s="287">
        <v>7</v>
      </c>
      <c r="E17" s="267" t="s">
        <v>126</v>
      </c>
      <c r="F17" s="61" t="s">
        <v>589</v>
      </c>
      <c r="G17" s="52" t="str">
        <f>IFERROR(INDEX('G-1 All Habitats'!$B$3:$B$134,MATCH(F17,'G-1 All Habitats'!$A$3:$A$134,0)),"")</f>
        <v>Heathland and shrub - Mixed scrub</v>
      </c>
      <c r="H17" s="53">
        <v>1.0962118180708538</v>
      </c>
      <c r="I17" s="362" t="str">
        <f>IF(G17="","",VLOOKUP(G17,'G-1 All Habitats'!$B$2:$M$134,10,FALSE))</f>
        <v>Medium</v>
      </c>
      <c r="J17" s="363">
        <f>IFERROR(VLOOKUP(I17,'G-1 All Habitats'!$V$3:$W$7,2,FALSE),"")</f>
        <v>4</v>
      </c>
      <c r="K17" s="54" t="s">
        <v>67</v>
      </c>
      <c r="L17" s="363">
        <f>IFERROR(INDEX('G-8 Condition Look up'!$A$3:$H$135,MATCH(G17,'G-8 Condition Look up'!$A$3:$A$135,0),MATCH(K17,'G-8 Condition Look up'!$A$3:$H$3,0)),"")</f>
        <v>2</v>
      </c>
      <c r="M17" s="54" t="s">
        <v>1037</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8.7696945445668302</v>
      </c>
      <c r="R17" s="38"/>
      <c r="S17" s="54">
        <v>0.23189499753360554</v>
      </c>
      <c r="T17" s="55">
        <v>0</v>
      </c>
      <c r="U17" s="374">
        <f t="shared" si="3"/>
        <v>1.8551599802688443</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0.86431682053724823</v>
      </c>
      <c r="X17" s="378">
        <f>IFERROR(IF(H17="","",IF(H17-S17-T17=0&lt;0,"Error in Areas ▲",IF(S17+T17&gt;H17,"Error in Areas ▲",IF(AND(P17='G-1 All Habitats'!$X$3,Y17="Yes"),"Alternative Compensation ✓",IF(W17=0,0,IF(P17='G-1 All Habitats'!$X$3,"Any Loss Unacceptable ▲",Q17-U17-V17)))))),"Check Data ▲")</f>
        <v>6.9145345642979859</v>
      </c>
      <c r="Y17" s="55"/>
      <c r="Z17" s="62" t="s">
        <v>1684</v>
      </c>
      <c r="AA17" s="526"/>
      <c r="AB17" s="120"/>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f t="array" ref="AK17">IFERROR(INDEX($AI$11:$AI$259, MATCH(0, IF(TRUE=$AF$11:$AF$259, COUNTIF($AK$10:$AK16, $AI$11:$AI$259), ""), 0)),"")</f>
        <v>7</v>
      </c>
      <c r="AL17" s="40">
        <f t="array" ref="AL17">IFERROR(INDEX($AI$11:$AI$259, MATCH(0, IF(TRUE=$AG$11:$AG$259, COUNTIF($AL$10:$AL16, $AI$11:$AI$259), ""), 0)),"")</f>
        <v>34</v>
      </c>
      <c r="AM17" s="40" t="str">
        <f t="array" ref="AM17">IFERROR(INDEX($AI$11:$AI$259, MATCH(0, IF(TRUE=$AH$11:$AH$259, COUNTIF($AM$10:$AM16, $AI$11:$AI$259), ""), 0)),"")</f>
        <v/>
      </c>
      <c r="AN17" s="40"/>
      <c r="AQ17" s="35">
        <f t="shared" si="2"/>
        <v>0</v>
      </c>
    </row>
    <row r="18" spans="1:43" ht="28.5" x14ac:dyDescent="0.2">
      <c r="A18" s="35" t="str">
        <f>IFERROR(INDEX('G-1 All Habitats'!$AG$3:$AG$17,MATCH(E18,'G-1 All Habitats'!$AF$3:$AF$17,0)),"")</f>
        <v>Sparsely_vegetated_land</v>
      </c>
      <c r="B18" s="35" t="str">
        <f>IFERROR(INDEX('G-8 Condition Look up'!$I$4:$I$135,MATCH(G18,'G-8 Condition Look up'!$A$4:$A$135,0)),"")</f>
        <v>Cond4</v>
      </c>
      <c r="D18" s="287">
        <v>8</v>
      </c>
      <c r="E18" s="267" t="s">
        <v>128</v>
      </c>
      <c r="F18" s="61" t="s">
        <v>1685</v>
      </c>
      <c r="G18" s="52" t="str">
        <f>IFERROR(INDEX('G-1 All Habitats'!$B$3:$B$134,MATCH(F18,'G-1 All Habitats'!$A$3:$A$134,0)),"")</f>
        <v>Sparsely vegetated land - Ruderal/Ephemeral</v>
      </c>
      <c r="H18" s="53">
        <v>0.11911150572473352</v>
      </c>
      <c r="I18" s="362" t="str">
        <f>IF(G18="","",VLOOKUP(G18,'G-1 All Habitats'!$B$2:$M$134,10,FALSE))</f>
        <v>Low</v>
      </c>
      <c r="J18" s="363">
        <f>IFERROR(VLOOKUP(I18,'G-1 All Habitats'!$V$3:$W$7,2,FALSE),"")</f>
        <v>2</v>
      </c>
      <c r="K18" s="54" t="s">
        <v>67</v>
      </c>
      <c r="L18" s="363">
        <f>IFERROR(INDEX('G-8 Condition Look up'!$A$3:$H$135,MATCH(G18,'G-8 Condition Look up'!$A$3:$A$135,0),MATCH(K18,'G-8 Condition Look up'!$A$3:$H$3,0)),"")</f>
        <v>2</v>
      </c>
      <c r="M18" s="54" t="s">
        <v>1037</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distinctiveness or better habitat required ≥</v>
      </c>
      <c r="Q18" s="376">
        <f>IFERROR(IF(P18="","",IF(AND(P18='G-1 All Habitats'!$X$3,T18&gt;0),U18+V18,IF(AND(P18='G-1 All Habitats'!$X$3,S18&gt;0),U18+V18,IF(AND(P18='G-1 All Habitats'!$X$3,AC18&gt;0),"Any Loss Unacceptable ⚠",IF(AND(P18='G-1 All Habitats'!$X$3,W18&gt;0),"Any Loss Unacceptable ⚠",H18*J18*L18*O18))))),"Check Data ▲")</f>
        <v>0.47644602289893406</v>
      </c>
      <c r="R18" s="38"/>
      <c r="S18" s="54">
        <v>0</v>
      </c>
      <c r="T18" s="55">
        <v>0</v>
      </c>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0.11911150572473352</v>
      </c>
      <c r="X18" s="378">
        <f>IFERROR(IF(H18="","",IF(H18-S18-T18=0&lt;0,"Error in Areas ▲",IF(S18+T18&gt;H18,"Error in Areas ▲",IF(AND(P18='G-1 All Habitats'!$X$3,Y18="Yes"),"Alternative Compensation ✓",IF(W18=0,0,IF(P18='G-1 All Habitats'!$X$3,"Any Loss Unacceptable ▲",Q18-U18-V18)))))),"Check Data ▲")</f>
        <v>0.47644602289893406</v>
      </c>
      <c r="Y18" s="55"/>
      <c r="Z18" s="62" t="s">
        <v>1684</v>
      </c>
      <c r="AA18" s="526"/>
      <c r="AB18" s="120"/>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f t="array" ref="AK18">IFERROR(INDEX($AI$11:$AI$259, MATCH(0, IF(TRUE=$AF$11:$AF$259, COUNTIF($AK$10:$AK17, $AI$11:$AI$259), ""), 0)),"")</f>
        <v>10</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28.5" x14ac:dyDescent="0.2">
      <c r="A19" s="35" t="str">
        <f>IFERROR(INDEX('G-1 All Habitats'!$AG$3:$AG$17,MATCH(E19,'G-1 All Habitats'!$AF$3:$AF$17,0)),"")</f>
        <v>Sparsely_vegetated_land</v>
      </c>
      <c r="B19" s="35" t="str">
        <f>IFERROR(INDEX('G-8 Condition Look up'!$I$4:$I$135,MATCH(G19,'G-8 Condition Look up'!$A$4:$A$135,0)),"")</f>
        <v>Cond4</v>
      </c>
      <c r="D19" s="287">
        <v>9</v>
      </c>
      <c r="E19" s="267" t="s">
        <v>128</v>
      </c>
      <c r="F19" s="61" t="s">
        <v>1685</v>
      </c>
      <c r="G19" s="52" t="str">
        <f>IFERROR(INDEX('G-1 All Habitats'!$B$3:$B$134,MATCH(F19,'G-1 All Habitats'!$A$3:$A$134,0)),"")</f>
        <v>Sparsely vegetated land - Ruderal/Ephemeral</v>
      </c>
      <c r="H19" s="53">
        <v>29.628916068832201</v>
      </c>
      <c r="I19" s="362" t="str">
        <f>IF(G19="","",VLOOKUP(G19,'G-1 All Habitats'!$B$2:$M$134,10,FALSE))</f>
        <v>Low</v>
      </c>
      <c r="J19" s="363">
        <f>IFERROR(VLOOKUP(I19,'G-1 All Habitats'!$V$3:$W$7,2,FALSE),"")</f>
        <v>2</v>
      </c>
      <c r="K19" s="54" t="s">
        <v>329</v>
      </c>
      <c r="L19" s="363">
        <f>IFERROR(INDEX('G-8 Condition Look up'!$A$3:$H$135,MATCH(G19,'G-8 Condition Look up'!$A$3:$A$135,0),MATCH(K19,'G-8 Condition Look up'!$A$3:$H$3,0)),"")</f>
        <v>1</v>
      </c>
      <c r="M19" s="54" t="s">
        <v>1037</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Same distinctiveness or better habitat required ≥</v>
      </c>
      <c r="Q19" s="376">
        <f>IFERROR(IF(P19="","",IF(AND(P19='G-1 All Habitats'!$X$3,T19&gt;0),U19+V19,IF(AND(P19='G-1 All Habitats'!$X$3,S19&gt;0),U19+V19,IF(AND(P19='G-1 All Habitats'!$X$3,AC19&gt;0),"Any Loss Unacceptable ⚠",IF(AND(P19='G-1 All Habitats'!$X$3,W19&gt;0),"Any Loss Unacceptable ⚠",H19*J19*L19*O19))))),"Check Data ▲")</f>
        <v>59.257832137664401</v>
      </c>
      <c r="R19" s="38"/>
      <c r="S19" s="54">
        <v>0</v>
      </c>
      <c r="T19" s="55">
        <v>0</v>
      </c>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29.628916068832201</v>
      </c>
      <c r="X19" s="378">
        <f>IFERROR(IF(H19="","",IF(H19-S19-T19=0&lt;0,"Error in Areas ▲",IF(S19+T19&gt;H19,"Error in Areas ▲",IF(AND(P19='G-1 All Habitats'!$X$3,Y19="Yes"),"Alternative Compensation ✓",IF(W19=0,0,IF(P19='G-1 All Habitats'!$X$3,"Any Loss Unacceptable ▲",Q19-U19-V19)))))),"Check Data ▲")</f>
        <v>59.257832137664401</v>
      </c>
      <c r="Y19" s="55"/>
      <c r="Z19" s="62" t="s">
        <v>1684</v>
      </c>
      <c r="AA19" s="526"/>
      <c r="AB19" s="120"/>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f t="array" ref="AK19">IFERROR(INDEX($AI$11:$AI$259, MATCH(0, IF(TRUE=$AF$11:$AF$259, COUNTIF($AK$10:$AK18, $AI$11:$AI$259), ""), 0)),"")</f>
        <v>11</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28.5" x14ac:dyDescent="0.2">
      <c r="A20" s="35" t="str">
        <f>IFERROR(INDEX('G-1 All Habitats'!$AG$3:$AG$17,MATCH(E20,'G-1 All Habitats'!$AF$3:$AF$17,0)),"")</f>
        <v>Urban</v>
      </c>
      <c r="B20" s="35" t="str">
        <f>IFERROR(INDEX('G-8 Condition Look up'!$I$4:$I$135,MATCH(G20,'G-8 Condition Look up'!$A$4:$A$135,0)),"")</f>
        <v>Cond4</v>
      </c>
      <c r="D20" s="287">
        <v>10</v>
      </c>
      <c r="E20" s="267" t="s">
        <v>129</v>
      </c>
      <c r="F20" s="61" t="s">
        <v>737</v>
      </c>
      <c r="G20" s="52" t="str">
        <f>IFERROR(INDEX('G-1 All Habitats'!$B$3:$B$134,MATCH(F20,'G-1 All Habitats'!$A$3:$A$134,0)),"")</f>
        <v>Urban - Bare ground</v>
      </c>
      <c r="H20" s="53">
        <v>0.78102001413178523</v>
      </c>
      <c r="I20" s="362" t="str">
        <f>IF(G20="","",VLOOKUP(G20,'G-1 All Habitats'!$B$2:$M$134,10,FALSE))</f>
        <v>Low</v>
      </c>
      <c r="J20" s="363">
        <f>IFERROR(VLOOKUP(I20,'G-1 All Habitats'!$V$3:$W$7,2,FALSE),"")</f>
        <v>2</v>
      </c>
      <c r="K20" s="54" t="s">
        <v>329</v>
      </c>
      <c r="L20" s="363">
        <f>IFERROR(INDEX('G-8 Condition Look up'!$A$3:$H$135,MATCH(G20,'G-8 Condition Look up'!$A$3:$A$135,0),MATCH(K20,'G-8 Condition Look up'!$A$3:$H$3,0)),"")</f>
        <v>1</v>
      </c>
      <c r="M20" s="54" t="s">
        <v>1037</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Same distinctiveness or better habitat required ≥</v>
      </c>
      <c r="Q20" s="376">
        <f>IFERROR(IF(P20="","",IF(AND(P20='G-1 All Habitats'!$X$3,T20&gt;0),U20+V20,IF(AND(P20='G-1 All Habitats'!$X$3,S20&gt;0),U20+V20,IF(AND(P20='G-1 All Habitats'!$X$3,AC20&gt;0),"Any Loss Unacceptable ⚠",IF(AND(P20='G-1 All Habitats'!$X$3,W20&gt;0),"Any Loss Unacceptable ⚠",H20*J20*L20*O20))))),"Check Data ▲")</f>
        <v>1.5620400282635705</v>
      </c>
      <c r="R20" s="38"/>
      <c r="S20" s="54">
        <v>0.50574782598643797</v>
      </c>
      <c r="T20" s="55">
        <v>0</v>
      </c>
      <c r="U20" s="374">
        <f t="shared" si="3"/>
        <v>1.0114956519728759</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0.27527218814534726</v>
      </c>
      <c r="X20" s="378">
        <f>IFERROR(IF(H20="","",IF(H20-S20-T20=0&lt;0,"Error in Areas ▲",IF(S20+T20&gt;H20,"Error in Areas ▲",IF(AND(P20='G-1 All Habitats'!$X$3,Y20="Yes"),"Alternative Compensation ✓",IF(W20=0,0,IF(P20='G-1 All Habitats'!$X$3,"Any Loss Unacceptable ▲",Q20-U20-V20)))))),"Check Data ▲")</f>
        <v>0.55054437629069453</v>
      </c>
      <c r="Y20" s="55"/>
      <c r="Z20" s="62" t="s">
        <v>1684</v>
      </c>
      <c r="AA20" s="526"/>
      <c r="AB20" s="120"/>
      <c r="AC20" s="726" t="str">
        <f>IF(P20="","",IF(P20='G-1 All Habitats'!$X$3,H20-S20-T20,"None"))</f>
        <v>None</v>
      </c>
      <c r="AD20" s="727" t="str">
        <f>IF(P20="","", IF(P20='G-1 All Habitats'!$X$3, AC20*J20*L20*O20,"None"))</f>
        <v>None</v>
      </c>
      <c r="AF20" s="40" t="b">
        <f t="shared" si="0"/>
        <v>1</v>
      </c>
      <c r="AG20" s="40" t="b">
        <f t="shared" si="1"/>
        <v>0</v>
      </c>
      <c r="AH20" s="40" t="e">
        <f>IF(I20="","",IF(#REF!&gt;0,TRUE,FALSE))</f>
        <v>#REF!</v>
      </c>
      <c r="AI20" s="40">
        <v>10</v>
      </c>
      <c r="AJ20" s="40"/>
      <c r="AK20" s="40">
        <f t="array" ref="AK20">IFERROR(INDEX($AI$11:$AI$259, MATCH(0, IF(TRUE=$AF$11:$AF$259, COUNTIF($AK$10:$AK19, $AI$11:$AI$259), ""), 0)),"")</f>
        <v>12</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28.5" x14ac:dyDescent="0.2">
      <c r="A21" s="35" t="str">
        <f>IFERROR(INDEX('G-1 All Habitats'!$AG$3:$AG$17,MATCH(E21,'G-1 All Habitats'!$AF$3:$AF$17,0)),"")</f>
        <v>Urban</v>
      </c>
      <c r="B21" s="35" t="str">
        <f>IFERROR(INDEX('G-8 Condition Look up'!$I$4:$I$135,MATCH(G21,'G-8 Condition Look up'!$A$4:$A$135,0)),"")</f>
        <v>Cond2</v>
      </c>
      <c r="D21" s="287">
        <v>11</v>
      </c>
      <c r="E21" s="267" t="s">
        <v>129</v>
      </c>
      <c r="F21" s="61" t="s">
        <v>699</v>
      </c>
      <c r="G21" s="52" t="str">
        <f>IFERROR(INDEX('G-1 All Habitats'!$B$3:$B$134,MATCH(F21,'G-1 All Habitats'!$A$3:$A$134,0)),"")</f>
        <v>Urban - Developed land; sealed surface</v>
      </c>
      <c r="H21" s="53">
        <v>2.8708726882441846</v>
      </c>
      <c r="I21" s="362" t="str">
        <f>IF(G21="","",VLOOKUP(G21,'G-1 All Habitats'!$B$2:$M$134,10,FALSE))</f>
        <v>V.Low</v>
      </c>
      <c r="J21" s="363">
        <f>IFERROR(VLOOKUP(I21,'G-1 All Habitats'!$V$3:$W$7,2,FALSE),"")</f>
        <v>0</v>
      </c>
      <c r="K21" s="54" t="s">
        <v>497</v>
      </c>
      <c r="L21" s="363">
        <f>IFERROR(INDEX('G-8 Condition Look up'!$A$3:$H$135,MATCH(G21,'G-8 Condition Look up'!$A$3:$A$135,0),MATCH(K21,'G-8 Condition Look up'!$A$3:$H$3,0)),"")</f>
        <v>0</v>
      </c>
      <c r="M21" s="54" t="s">
        <v>1037</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v>0.56959284820024814</v>
      </c>
      <c r="T21" s="55">
        <v>0</v>
      </c>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2.3012798400439367</v>
      </c>
      <c r="X21" s="378">
        <f>IFERROR(IF(H21="","",IF(H21-S21-T21=0&lt;0,"Error in Areas ▲",IF(S21+T21&gt;H21,"Error in Areas ▲",IF(AND(P21='G-1 All Habitats'!$X$3,Y21="Yes"),"Alternative Compensation ✓",IF(W21=0,0,IF(P21='G-1 All Habitats'!$X$3,"Any Loss Unacceptable ▲",Q21-U21-V21)))))),"Check Data ▲")</f>
        <v>0</v>
      </c>
      <c r="Y21" s="55"/>
      <c r="Z21" s="62" t="s">
        <v>1684</v>
      </c>
      <c r="AA21" s="526"/>
      <c r="AB21" s="120"/>
      <c r="AC21" s="726" t="str">
        <f>IF(P21="","",IF(P21='G-1 All Habitats'!$X$3,H21-S21-T21,"None"))</f>
        <v>None</v>
      </c>
      <c r="AD21" s="727" t="str">
        <f>IF(P21="","", IF(P21='G-1 All Habitats'!$X$3, AC21*J21*L21*O21,"None"))</f>
        <v>None</v>
      </c>
      <c r="AF21" s="40" t="b">
        <f t="shared" si="0"/>
        <v>1</v>
      </c>
      <c r="AG21" s="40" t="b">
        <f t="shared" si="1"/>
        <v>0</v>
      </c>
      <c r="AH21" s="40" t="e">
        <f>IF(I21="","",IF(#REF!&gt;0,TRUE,FALSE))</f>
        <v>#REF!</v>
      </c>
      <c r="AI21" s="40">
        <v>11</v>
      </c>
      <c r="AJ21" s="40"/>
      <c r="AK21" s="40">
        <f t="array" ref="AK21">IFERROR(INDEX($AI$11:$AI$259, MATCH(0, IF(TRUE=$AF$11:$AF$259, COUNTIF($AK$10:$AK20, $AI$11:$AI$259), ""), 0)),"")</f>
        <v>13</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28.5" x14ac:dyDescent="0.2">
      <c r="A22" s="35" t="str">
        <f>IFERROR(INDEX('G-1 All Habitats'!$AG$3:$AG$17,MATCH(E22,'G-1 All Habitats'!$AF$3:$AF$17,0)),"")</f>
        <v>Woodland_and_forest</v>
      </c>
      <c r="B22" s="35" t="str">
        <f>IFERROR(INDEX('G-8 Condition Look up'!$I$4:$I$135,MATCH(G22,'G-8 Condition Look up'!$A$4:$A$135,0)),"")</f>
        <v>Cond4</v>
      </c>
      <c r="D22" s="287">
        <v>12</v>
      </c>
      <c r="E22" s="267" t="s">
        <v>131</v>
      </c>
      <c r="F22" s="61" t="s">
        <v>788</v>
      </c>
      <c r="G22" s="52" t="str">
        <f>IFERROR(INDEX('G-1 All Habitats'!$B$3:$B$134,MATCH(F22,'G-1 All Habitats'!$A$3:$A$134,0)),"")</f>
        <v>Woodland and forest - Lowland mixed deciduous woodland</v>
      </c>
      <c r="H22" s="53">
        <v>1.6160783020209906E-3</v>
      </c>
      <c r="I22" s="362" t="str">
        <f>IF(G22="","",VLOOKUP(G22,'G-1 All Habitats'!$B$2:$M$134,10,FALSE))</f>
        <v>High</v>
      </c>
      <c r="J22" s="363">
        <f>IFERROR(VLOOKUP(I22,'G-1 All Habitats'!$V$3:$W$7,2,FALSE),"")</f>
        <v>6</v>
      </c>
      <c r="K22" s="54" t="s">
        <v>67</v>
      </c>
      <c r="L22" s="363">
        <f>IFERROR(INDEX('G-8 Condition Look up'!$A$3:$H$135,MATCH(G22,'G-8 Condition Look up'!$A$3:$A$135,0),MATCH(K22,'G-8 Condition Look up'!$A$3:$H$3,0)),"")</f>
        <v>2</v>
      </c>
      <c r="M22" s="54" t="s">
        <v>1037</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Same habitat required =</v>
      </c>
      <c r="Q22" s="376">
        <f>IFERROR(IF(P22="","",IF(AND(P22='G-1 All Habitats'!$X$3,T22&gt;0),U22+V22,IF(AND(P22='G-1 All Habitats'!$X$3,S22&gt;0),U22+V22,IF(AND(P22='G-1 All Habitats'!$X$3,AC22&gt;0),"Any Loss Unacceptable ⚠",IF(AND(P22='G-1 All Habitats'!$X$3,W22&gt;0),"Any Loss Unacceptable ⚠",H22*J22*L22*O22))))),"Check Data ▲")</f>
        <v>1.9392939624251888E-2</v>
      </c>
      <c r="R22" s="38"/>
      <c r="S22" s="54">
        <v>1.6160783020209906E-3</v>
      </c>
      <c r="T22" s="55">
        <v>0</v>
      </c>
      <c r="U22" s="374">
        <f t="shared" si="3"/>
        <v>1.9392939624251888E-2</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v>
      </c>
      <c r="X22" s="378">
        <f>IFERROR(IF(H22="","",IF(H22-S22-T22=0&lt;0,"Error in Areas ▲",IF(S22+T22&gt;H22,"Error in Areas ▲",IF(AND(P22='G-1 All Habitats'!$X$3,Y22="Yes"),"Alternative Compensation ✓",IF(W22=0,0,IF(P22='G-1 All Habitats'!$X$3,"Any Loss Unacceptable ▲",Q22-U22-V22)))))),"Check Data ▲")</f>
        <v>0</v>
      </c>
      <c r="Y22" s="55"/>
      <c r="Z22" s="62" t="s">
        <v>1684</v>
      </c>
      <c r="AA22" s="526"/>
      <c r="AB22" s="120"/>
      <c r="AC22" s="726" t="str">
        <f>IF(P22="","",IF(P22='G-1 All Habitats'!$X$3,H22-S22-T22,"None"))</f>
        <v>None</v>
      </c>
      <c r="AD22" s="727" t="str">
        <f>IF(P22="","", IF(P22='G-1 All Habitats'!$X$3, AC22*J22*L22*O22,"None"))</f>
        <v>None</v>
      </c>
      <c r="AF22" s="40" t="b">
        <f t="shared" si="0"/>
        <v>1</v>
      </c>
      <c r="AG22" s="40" t="b">
        <f t="shared" si="1"/>
        <v>0</v>
      </c>
      <c r="AH22" s="40" t="e">
        <f>IF(I22="","",IF(#REF!&gt;0,TRUE,FALSE))</f>
        <v>#REF!</v>
      </c>
      <c r="AI22" s="40">
        <v>12</v>
      </c>
      <c r="AJ22" s="40"/>
      <c r="AK22" s="40">
        <f t="array" ref="AK22">IFERROR(INDEX($AI$11:$AI$259, MATCH(0, IF(TRUE=$AF$11:$AF$259, COUNTIF($AK$10:$AK21, $AI$11:$AI$259), ""), 0)),"")</f>
        <v>14</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28.5" x14ac:dyDescent="0.2">
      <c r="A23" s="35" t="str">
        <f>IFERROR(INDEX('G-1 All Habitats'!$AG$3:$AG$17,MATCH(E23,'G-1 All Habitats'!$AF$3:$AF$17,0)),"")</f>
        <v>Woodland_and_forest</v>
      </c>
      <c r="B23" s="35" t="str">
        <f>IFERROR(INDEX('G-8 Condition Look up'!$I$4:$I$135,MATCH(G23,'G-8 Condition Look up'!$A$4:$A$135,0)),"")</f>
        <v>Cond4</v>
      </c>
      <c r="D23" s="287">
        <v>13</v>
      </c>
      <c r="E23" s="267" t="s">
        <v>131</v>
      </c>
      <c r="F23" s="61" t="s">
        <v>796</v>
      </c>
      <c r="G23" s="52" t="str">
        <f>IFERROR(INDEX('G-1 All Habitats'!$B$3:$B$134,MATCH(F23,'G-1 All Habitats'!$A$3:$A$134,0)),"")</f>
        <v>Woodland and forest - Other coniferous woodland</v>
      </c>
      <c r="H23" s="53">
        <v>0.32989349419835107</v>
      </c>
      <c r="I23" s="362" t="str">
        <f>IF(G23="","",VLOOKUP(G23,'G-1 All Habitats'!$B$2:$M$134,10,FALSE))</f>
        <v>Low</v>
      </c>
      <c r="J23" s="363">
        <f>IFERROR(VLOOKUP(I23,'G-1 All Habitats'!$V$3:$W$7,2,FALSE),"")</f>
        <v>2</v>
      </c>
      <c r="K23" s="54" t="s">
        <v>67</v>
      </c>
      <c r="L23" s="363">
        <f>IFERROR(INDEX('G-8 Condition Look up'!$A$3:$H$135,MATCH(G23,'G-8 Condition Look up'!$A$3:$A$135,0),MATCH(K23,'G-8 Condition Look up'!$A$3:$H$3,0)),"")</f>
        <v>2</v>
      </c>
      <c r="M23" s="54" t="s">
        <v>1037</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Same distinctiveness or better habitat required ≥</v>
      </c>
      <c r="Q23" s="376">
        <f>IFERROR(IF(P23="","",IF(AND(P23='G-1 All Habitats'!$X$3,T23&gt;0),U23+V23,IF(AND(P23='G-1 All Habitats'!$X$3,S23&gt;0),U23+V23,IF(AND(P23='G-1 All Habitats'!$X$3,AC23&gt;0),"Any Loss Unacceptable ⚠",IF(AND(P23='G-1 All Habitats'!$X$3,W23&gt;0),"Any Loss Unacceptable ⚠",H23*J23*L23*O23))))),"Check Data ▲")</f>
        <v>1.3195739767934043</v>
      </c>
      <c r="R23" s="38"/>
      <c r="S23" s="54">
        <v>0.32989349419835107</v>
      </c>
      <c r="T23" s="55">
        <v>0</v>
      </c>
      <c r="U23" s="374">
        <f t="shared" si="3"/>
        <v>1.3195739767934043</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v>
      </c>
      <c r="X23" s="378">
        <f>IFERROR(IF(H23="","",IF(H23-S23-T23=0&lt;0,"Error in Areas ▲",IF(S23+T23&gt;H23,"Error in Areas ▲",IF(AND(P23='G-1 All Habitats'!$X$3,Y23="Yes"),"Alternative Compensation ✓",IF(W23=0,0,IF(P23='G-1 All Habitats'!$X$3,"Any Loss Unacceptable ▲",Q23-U23-V23)))))),"Check Data ▲")</f>
        <v>0</v>
      </c>
      <c r="Y23" s="55"/>
      <c r="Z23" s="62" t="s">
        <v>1684</v>
      </c>
      <c r="AA23" s="526"/>
      <c r="AB23" s="120"/>
      <c r="AC23" s="726" t="str">
        <f>IF(P23="","",IF(P23='G-1 All Habitats'!$X$3,H23-S23-T23,"None"))</f>
        <v>None</v>
      </c>
      <c r="AD23" s="727" t="str">
        <f>IF(P23="","", IF(P23='G-1 All Habitats'!$X$3, AC23*J23*L23*O23,"None"))</f>
        <v>None</v>
      </c>
      <c r="AF23" s="40" t="b">
        <f t="shared" si="0"/>
        <v>1</v>
      </c>
      <c r="AG23" s="40" t="b">
        <f t="shared" si="1"/>
        <v>0</v>
      </c>
      <c r="AH23" s="40" t="e">
        <f>IF(I23="","",IF(#REF!&gt;0,TRUE,FALSE))</f>
        <v>#REF!</v>
      </c>
      <c r="AI23" s="40">
        <v>13</v>
      </c>
      <c r="AJ23" s="40"/>
      <c r="AK23" s="40">
        <f t="array" ref="AK23">IFERROR(INDEX($AI$11:$AI$259, MATCH(0, IF(TRUE=$AF$11:$AF$259, COUNTIF($AK$10:$AK22, $AI$11:$AI$259), ""), 0)),"")</f>
        <v>20</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42.75" x14ac:dyDescent="0.2">
      <c r="A24" s="35" t="str">
        <f>IFERROR(INDEX('G-1 All Habitats'!$AG$3:$AG$17,MATCH(E24,'G-1 All Habitats'!$AF$3:$AF$17,0)),"")</f>
        <v>Woodland_and_forest</v>
      </c>
      <c r="B24" s="35" t="str">
        <f>IFERROR(INDEX('G-8 Condition Look up'!$I$4:$I$135,MATCH(G24,'G-8 Condition Look up'!$A$4:$A$135,0)),"")</f>
        <v>Cond4</v>
      </c>
      <c r="D24" s="287">
        <v>14</v>
      </c>
      <c r="E24" s="267" t="s">
        <v>131</v>
      </c>
      <c r="F24" s="61" t="s">
        <v>803</v>
      </c>
      <c r="G24" s="52" t="str">
        <f>IFERROR(INDEX('G-1 All Habitats'!$B$3:$B$134,MATCH(F24,'G-1 All Habitats'!$A$3:$A$134,0)),"")</f>
        <v>Woodland and forest - Other woodland; broadleaved</v>
      </c>
      <c r="H24" s="53">
        <v>9.2274387039074437</v>
      </c>
      <c r="I24" s="362" t="str">
        <f>IF(G24="","",VLOOKUP(G24,'G-1 All Habitats'!$B$2:$M$134,10,FALSE))</f>
        <v>Medium</v>
      </c>
      <c r="J24" s="363">
        <f>IFERROR(VLOOKUP(I24,'G-1 All Habitats'!$V$3:$W$7,2,FALSE),"")</f>
        <v>4</v>
      </c>
      <c r="K24" s="54" t="s">
        <v>67</v>
      </c>
      <c r="L24" s="363">
        <f>IFERROR(INDEX('G-8 Condition Look up'!$A$3:$H$135,MATCH(G24,'G-8 Condition Look up'!$A$3:$A$135,0),MATCH(K24,'G-8 Condition Look up'!$A$3:$H$3,0)),"")</f>
        <v>2</v>
      </c>
      <c r="M24" s="54" t="s">
        <v>1037</v>
      </c>
      <c r="N24" s="382" t="str">
        <f>IF(M24="","",IF(VLOOKUP(M24,'G-3 Multipliers'!$L$3:$N$6,2,FALSE)=0,"Spatial Data Missing",VLOOKUP(M24,'G-3 Multipliers'!$L$3:$N$6,2,FALSE)))</f>
        <v>Low Strategic Significance</v>
      </c>
      <c r="O24" s="368">
        <f>IF(M24="","",IF(VLOOKUP(M24,'G-3 Multipliers'!$L$3:$N$6,3,FALSE)=0,"Spatial Data Missing ▲",VLOOKUP(M24,'G-3 Multipliers'!$L$3:$N$6,3,FALSE)))</f>
        <v>1</v>
      </c>
      <c r="P24" s="369" t="str">
        <f>IFERROR(VLOOKUP(G24,'G-1 All Habitats'!$B$2:$M$134,12,FALSE),"")</f>
        <v>Same broad habitat or a higher distinctiveness habitat required (≥)</v>
      </c>
      <c r="Q24" s="376">
        <f>IFERROR(IF(P24="","",IF(AND(P24='G-1 All Habitats'!$X$3,T24&gt;0),U24+V24,IF(AND(P24='G-1 All Habitats'!$X$3,S24&gt;0),U24+V24,IF(AND(P24='G-1 All Habitats'!$X$3,AC24&gt;0),"Any Loss Unacceptable ⚠",IF(AND(P24='G-1 All Habitats'!$X$3,W24&gt;0),"Any Loss Unacceptable ⚠",H24*J24*L24*O24))))),"Check Data ▲")</f>
        <v>73.81950963125955</v>
      </c>
      <c r="R24" s="38"/>
      <c r="S24" s="54">
        <v>8.9331438595342245</v>
      </c>
      <c r="T24" s="55">
        <v>0</v>
      </c>
      <c r="U24" s="374">
        <f t="shared" si="3"/>
        <v>71.465150876273796</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0.29429484437321918</v>
      </c>
      <c r="X24" s="378">
        <f>IFERROR(IF(H24="","",IF(H24-S24-T24=0&lt;0,"Error in Areas ▲",IF(S24+T24&gt;H24,"Error in Areas ▲",IF(AND(P24='G-1 All Habitats'!$X$3,Y24="Yes"),"Alternative Compensation ✓",IF(W24=0,0,IF(P24='G-1 All Habitats'!$X$3,"Any Loss Unacceptable ▲",Q24-U24-V24)))))),"Check Data ▲")</f>
        <v>2.3543587549857534</v>
      </c>
      <c r="Y24" s="55"/>
      <c r="Z24" s="62" t="s">
        <v>1684</v>
      </c>
      <c r="AA24" s="526"/>
      <c r="AB24" s="120"/>
      <c r="AC24" s="726" t="str">
        <f>IF(P24="","",IF(P24='G-1 All Habitats'!$X$3,H24-S24-T24,"None"))</f>
        <v>None</v>
      </c>
      <c r="AD24" s="727" t="str">
        <f>IF(P24="","", IF(P24='G-1 All Habitats'!$X$3, AC24*J24*L24*O24,"None"))</f>
        <v>None</v>
      </c>
      <c r="AF24" s="40" t="b">
        <f t="shared" si="0"/>
        <v>1</v>
      </c>
      <c r="AG24" s="40" t="b">
        <f t="shared" si="1"/>
        <v>0</v>
      </c>
      <c r="AH24" s="40" t="e">
        <f>IF(I24="","",IF(#REF!&gt;0,TRUE,FALSE))</f>
        <v>#REF!</v>
      </c>
      <c r="AI24" s="40">
        <v>14</v>
      </c>
      <c r="AJ24" s="40"/>
      <c r="AK24" s="40">
        <f t="array" ref="AK24">IFERROR(INDEX($AI$11:$AI$259, MATCH(0, IF(TRUE=$AF$11:$AF$259, COUNTIF($AK$10:$AK23, $AI$11:$AI$259), ""), 0)),"")</f>
        <v>22</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28.5" x14ac:dyDescent="0.2">
      <c r="A25" s="35" t="str">
        <f>IFERROR(INDEX('G-1 All Habitats'!$AG$3:$AG$17,MATCH(E25,'G-1 All Habitats'!$AF$3:$AF$17,0)),"")</f>
        <v>Grassland</v>
      </c>
      <c r="B25" s="35" t="str">
        <f>IFERROR(INDEX('G-8 Condition Look up'!$I$4:$I$135,MATCH(G25,'G-8 Condition Look up'!$A$4:$A$135,0)),"")</f>
        <v>Cond4</v>
      </c>
      <c r="D25" s="287">
        <v>15</v>
      </c>
      <c r="E25" s="267" t="s">
        <v>125</v>
      </c>
      <c r="F25" s="61" t="s">
        <v>540</v>
      </c>
      <c r="G25" s="52" t="str">
        <f>IFERROR(INDEX('G-1 All Habitats'!$B$3:$B$134,MATCH(F25,'G-1 All Habitats'!$A$3:$A$134,0)),"")</f>
        <v>Grassland - Modified grassland</v>
      </c>
      <c r="H25" s="53">
        <v>8.5929656302180852</v>
      </c>
      <c r="I25" s="362" t="str">
        <f>IF(G25="","",VLOOKUP(G25,'G-1 All Habitats'!$B$2:$M$134,10,FALSE))</f>
        <v>Low</v>
      </c>
      <c r="J25" s="363">
        <f>IFERROR(VLOOKUP(I25,'G-1 All Habitats'!$V$3:$W$7,2,FALSE),"")</f>
        <v>2</v>
      </c>
      <c r="K25" s="54" t="s">
        <v>329</v>
      </c>
      <c r="L25" s="363">
        <f>IFERROR(INDEX('G-8 Condition Look up'!$A$3:$H$135,MATCH(G25,'G-8 Condition Look up'!$A$3:$A$135,0),MATCH(K25,'G-8 Condition Look up'!$A$3:$H$3,0)),"")</f>
        <v>1</v>
      </c>
      <c r="M25" s="54" t="s">
        <v>1037</v>
      </c>
      <c r="N25" s="382" t="str">
        <f>IF(M25="","",IF(VLOOKUP(M25,'G-3 Multipliers'!$L$3:$N$6,2,FALSE)=0,"Spatial Data Missing",VLOOKUP(M25,'G-3 Multipliers'!$L$3:$N$6,2,FALSE)))</f>
        <v>Low Strategic Significance</v>
      </c>
      <c r="O25" s="368">
        <f>IF(M25="","",IF(VLOOKUP(M25,'G-3 Multipliers'!$L$3:$N$6,3,FALSE)=0,"Spatial Data Missing ▲",VLOOKUP(M25,'G-3 Multipliers'!$L$3:$N$6,3,FALSE)))</f>
        <v>1</v>
      </c>
      <c r="P25" s="369" t="str">
        <f>IFERROR(VLOOKUP(G25,'G-1 All Habitats'!$B$2:$M$134,12,FALSE),"")</f>
        <v>Same distinctiveness or better habitat required ≥</v>
      </c>
      <c r="Q25" s="376">
        <f>IFERROR(IF(P25="","",IF(AND(P25='G-1 All Habitats'!$X$3,T25&gt;0),U25+V25,IF(AND(P25='G-1 All Habitats'!$X$3,S25&gt;0),U25+V25,IF(AND(P25='G-1 All Habitats'!$X$3,AC25&gt;0),"Any Loss Unacceptable ⚠",IF(AND(P25='G-1 All Habitats'!$X$3,W25&gt;0),"Any Loss Unacceptable ⚠",H25*J25*L25*O25))))),"Check Data ▲")</f>
        <v>17.18593126043617</v>
      </c>
      <c r="R25" s="38"/>
      <c r="S25" s="54">
        <v>0</v>
      </c>
      <c r="T25" s="55">
        <v>8.5929656302180852</v>
      </c>
      <c r="U25" s="374">
        <f t="shared" si="3"/>
        <v>0</v>
      </c>
      <c r="V25" s="374">
        <f t="shared" si="4"/>
        <v>17.18593126043617</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v>
      </c>
      <c r="X25" s="378">
        <f>IFERROR(IF(H25="","",IF(H25-S25-T25=0&lt;0,"Error in Areas ▲",IF(S25+T25&gt;H25,"Error in Areas ▲",IF(AND(P25='G-1 All Habitats'!$X$3,Y25="Yes"),"Alternative Compensation ✓",IF(W25=0,0,IF(P25='G-1 All Habitats'!$X$3,"Any Loss Unacceptable ▲",Q25-U25-V25)))))),"Check Data ▲")</f>
        <v>0</v>
      </c>
      <c r="Y25" s="55"/>
      <c r="Z25" s="62" t="s">
        <v>1684</v>
      </c>
      <c r="AA25" s="526"/>
      <c r="AB25" s="120"/>
      <c r="AC25" s="726" t="str">
        <f>IF(P25="","",IF(P25='G-1 All Habitats'!$X$3,H25-S25-T25,"None"))</f>
        <v>None</v>
      </c>
      <c r="AD25" s="727" t="str">
        <f>IF(P25="","", IF(P25='G-1 All Habitats'!$X$3, AC25*J25*L25*O25,"None"))</f>
        <v>None</v>
      </c>
      <c r="AF25" s="40" t="b">
        <f t="shared" si="0"/>
        <v>0</v>
      </c>
      <c r="AG25" s="40" t="b">
        <f t="shared" si="1"/>
        <v>1</v>
      </c>
      <c r="AH25" s="40" t="e">
        <f>IF(I25="","",IF(#REF!&gt;0,TRUE,FALSE))</f>
        <v>#REF!</v>
      </c>
      <c r="AI25" s="40">
        <v>15</v>
      </c>
      <c r="AJ25" s="40"/>
      <c r="AK25" s="40">
        <f t="array" ref="AK25">IFERROR(INDEX($AI$11:$AI$259, MATCH(0, IF(TRUE=$AF$11:$AF$259, COUNTIF($AK$10:$AK24, $AI$11:$AI$259), ""), 0)),"")</f>
        <v>24</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t="28.5" x14ac:dyDescent="0.2">
      <c r="A26" s="35" t="str">
        <f>IFERROR(INDEX('G-1 All Habitats'!$AG$3:$AG$17,MATCH(E26,'G-1 All Habitats'!$AF$3:$AF$17,0)),"")</f>
        <v>Grassland</v>
      </c>
      <c r="B26" s="35" t="str">
        <f>IFERROR(INDEX('G-8 Condition Look up'!$I$4:$I$135,MATCH(G26,'G-8 Condition Look up'!$A$4:$A$135,0)),"")</f>
        <v>Cond4</v>
      </c>
      <c r="D26" s="287">
        <v>16</v>
      </c>
      <c r="E26" s="267" t="s">
        <v>125</v>
      </c>
      <c r="F26" s="61" t="s">
        <v>540</v>
      </c>
      <c r="G26" s="52" t="str">
        <f>IFERROR(INDEX('G-1 All Habitats'!$B$3:$B$134,MATCH(F26,'G-1 All Habitats'!$A$3:$A$134,0)),"")</f>
        <v>Grassland - Modified grassland</v>
      </c>
      <c r="H26" s="53">
        <v>0.11143106431936706</v>
      </c>
      <c r="I26" s="362" t="str">
        <f>IF(G26="","",VLOOKUP(G26,'G-1 All Habitats'!$B$2:$M$134,10,FALSE))</f>
        <v>Low</v>
      </c>
      <c r="J26" s="363">
        <f>IFERROR(VLOOKUP(I26,'G-1 All Habitats'!$V$3:$W$7,2,FALSE),"")</f>
        <v>2</v>
      </c>
      <c r="K26" s="54" t="s">
        <v>67</v>
      </c>
      <c r="L26" s="363">
        <f>IFERROR(INDEX('G-8 Condition Look up'!$A$3:$H$135,MATCH(G26,'G-8 Condition Look up'!$A$3:$A$135,0),MATCH(K26,'G-8 Condition Look up'!$A$3:$H$3,0)),"")</f>
        <v>2</v>
      </c>
      <c r="M26" s="54" t="s">
        <v>1037</v>
      </c>
      <c r="N26" s="382" t="str">
        <f>IF(M26="","",IF(VLOOKUP(M26,'G-3 Multipliers'!$L$3:$N$6,2,FALSE)=0,"Spatial Data Missing",VLOOKUP(M26,'G-3 Multipliers'!$L$3:$N$6,2,FALSE)))</f>
        <v>Low Strategic Significance</v>
      </c>
      <c r="O26" s="368">
        <f>IF(M26="","",IF(VLOOKUP(M26,'G-3 Multipliers'!$L$3:$N$6,3,FALSE)=0,"Spatial Data Missing ▲",VLOOKUP(M26,'G-3 Multipliers'!$L$3:$N$6,3,FALSE)))</f>
        <v>1</v>
      </c>
      <c r="P26" s="369" t="str">
        <f>IFERROR(VLOOKUP(G26,'G-1 All Habitats'!$B$2:$M$134,12,FALSE),"")</f>
        <v>Same distinctiveness or better habitat required ≥</v>
      </c>
      <c r="Q26" s="376">
        <f>IFERROR(IF(P26="","",IF(AND(P26='G-1 All Habitats'!$X$3,T26&gt;0),U26+V26,IF(AND(P26='G-1 All Habitats'!$X$3,S26&gt;0),U26+V26,IF(AND(P26='G-1 All Habitats'!$X$3,AC26&gt;0),"Any Loss Unacceptable ⚠",IF(AND(P26='G-1 All Habitats'!$X$3,W26&gt;0),"Any Loss Unacceptable ⚠",H26*J26*L26*O26))))),"Check Data ▲")</f>
        <v>0.44572425727746823</v>
      </c>
      <c r="R26" s="38"/>
      <c r="S26" s="54">
        <v>0</v>
      </c>
      <c r="T26" s="55">
        <v>0.11143106431936706</v>
      </c>
      <c r="U26" s="374">
        <f t="shared" si="3"/>
        <v>0</v>
      </c>
      <c r="V26" s="374">
        <f t="shared" si="4"/>
        <v>0.44572425727746823</v>
      </c>
      <c r="W26" s="374">
        <f>IF(E26="","",IF(H26&lt;S26+T26,"Error in Areas ▲",IF(P26&lt;&gt;'G-1 All Habitats'!$X$3,H26-S26-T26,IF(AND(P26='G-1 All Habitats'!$X$3,Y26="Yes"),"Unacceptable Loss ⚠",IF(AND(P26='G-1 All Habitats'!$X$3,Y26="No"),AC26,IF(AND(P26='G-1 All Habitats'!$X$3,Y26=""),AC26,IF(AND(P26='G-1 All Habitats'!$X$3,AC26="None",AC26),IF(AND(P26='G-1 All Habitats'!$X$3,AC26&gt;0),H26-S26-T26))))))))</f>
        <v>0</v>
      </c>
      <c r="X26" s="378">
        <f>IFERROR(IF(H26="","",IF(H26-S26-T26=0&lt;0,"Error in Areas ▲",IF(S26+T26&gt;H26,"Error in Areas ▲",IF(AND(P26='G-1 All Habitats'!$X$3,Y26="Yes"),"Alternative Compensation ✓",IF(W26=0,0,IF(P26='G-1 All Habitats'!$X$3,"Any Loss Unacceptable ▲",Q26-U26-V26)))))),"Check Data ▲")</f>
        <v>0</v>
      </c>
      <c r="Y26" s="55"/>
      <c r="Z26" s="62" t="s">
        <v>1684</v>
      </c>
      <c r="AA26" s="526"/>
      <c r="AB26" s="120"/>
      <c r="AC26" s="726" t="str">
        <f>IF(P26="","",IF(P26='G-1 All Habitats'!$X$3,H26-S26-T26,"None"))</f>
        <v>None</v>
      </c>
      <c r="AD26" s="727" t="str">
        <f>IF(P26="","", IF(P26='G-1 All Habitats'!$X$3, AC26*J26*L26*O26,"None"))</f>
        <v>None</v>
      </c>
      <c r="AF26" s="40" t="b">
        <f t="shared" si="0"/>
        <v>0</v>
      </c>
      <c r="AG26" s="40" t="b">
        <f t="shared" si="1"/>
        <v>1</v>
      </c>
      <c r="AH26" s="40" t="e">
        <f>IF(I26="","",IF(#REF!&gt;0,TRUE,FALSE))</f>
        <v>#REF!</v>
      </c>
      <c r="AI26" s="40">
        <v>16</v>
      </c>
      <c r="AJ26" s="40"/>
      <c r="AK26" s="40">
        <f t="array" ref="AK26">IFERROR(INDEX($AI$11:$AI$259, MATCH(0, IF(TRUE=$AF$11:$AF$259, COUNTIF($AK$10:$AK25, $AI$11:$AI$259), ""), 0)),"")</f>
        <v>25</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t="28.5" x14ac:dyDescent="0.2">
      <c r="A27" s="35" t="str">
        <f>IFERROR(INDEX('G-1 All Habitats'!$AG$3:$AG$17,MATCH(E27,'G-1 All Habitats'!$AF$3:$AF$17,0)),"")</f>
        <v>Grassland</v>
      </c>
      <c r="B27" s="35" t="str">
        <f>IFERROR(INDEX('G-8 Condition Look up'!$I$4:$I$135,MATCH(G27,'G-8 Condition Look up'!$A$4:$A$135,0)),"")</f>
        <v>Cond4</v>
      </c>
      <c r="D27" s="287">
        <v>17</v>
      </c>
      <c r="E27" s="267" t="s">
        <v>125</v>
      </c>
      <c r="F27" s="61" t="s">
        <v>540</v>
      </c>
      <c r="G27" s="52" t="str">
        <f>IFERROR(INDEX('G-1 All Habitats'!$B$3:$B$134,MATCH(F27,'G-1 All Habitats'!$A$3:$A$134,0)),"")</f>
        <v>Grassland - Modified grassland</v>
      </c>
      <c r="H27" s="53">
        <v>2.4006197583792392</v>
      </c>
      <c r="I27" s="362" t="str">
        <f>IF(G27="","",VLOOKUP(G27,'G-1 All Habitats'!$B$2:$M$134,10,FALSE))</f>
        <v>Low</v>
      </c>
      <c r="J27" s="363">
        <f>IFERROR(VLOOKUP(I27,'G-1 All Habitats'!$V$3:$W$7,2,FALSE),"")</f>
        <v>2</v>
      </c>
      <c r="K27" s="54" t="s">
        <v>329</v>
      </c>
      <c r="L27" s="363">
        <f>IFERROR(INDEX('G-8 Condition Look up'!$A$3:$H$135,MATCH(G27,'G-8 Condition Look up'!$A$3:$A$135,0),MATCH(K27,'G-8 Condition Look up'!$A$3:$H$3,0)),"")</f>
        <v>1</v>
      </c>
      <c r="M27" s="54" t="s">
        <v>1037</v>
      </c>
      <c r="N27" s="382" t="str">
        <f>IF(M27="","",IF(VLOOKUP(M27,'G-3 Multipliers'!$L$3:$N$6,2,FALSE)=0,"Spatial Data Missing",VLOOKUP(M27,'G-3 Multipliers'!$L$3:$N$6,2,FALSE)))</f>
        <v>Low Strategic Significance</v>
      </c>
      <c r="O27" s="368">
        <f>IF(M27="","",IF(VLOOKUP(M27,'G-3 Multipliers'!$L$3:$N$6,3,FALSE)=0,"Spatial Data Missing ▲",VLOOKUP(M27,'G-3 Multipliers'!$L$3:$N$6,3,FALSE)))</f>
        <v>1</v>
      </c>
      <c r="P27" s="369" t="str">
        <f>IFERROR(VLOOKUP(G27,'G-1 All Habitats'!$B$2:$M$134,12,FALSE),"")</f>
        <v>Same distinctiveness or better habitat required ≥</v>
      </c>
      <c r="Q27" s="376">
        <f>IFERROR(IF(P27="","",IF(AND(P27='G-1 All Habitats'!$X$3,T27&gt;0),U27+V27,IF(AND(P27='G-1 All Habitats'!$X$3,S27&gt;0),U27+V27,IF(AND(P27='G-1 All Habitats'!$X$3,AC27&gt;0),"Any Loss Unacceptable ⚠",IF(AND(P27='G-1 All Habitats'!$X$3,W27&gt;0),"Any Loss Unacceptable ⚠",H27*J27*L27*O27))))),"Check Data ▲")</f>
        <v>4.8012395167584785</v>
      </c>
      <c r="R27" s="38"/>
      <c r="S27" s="54">
        <v>0</v>
      </c>
      <c r="T27" s="55">
        <v>2.4006197583792392</v>
      </c>
      <c r="U27" s="374">
        <f t="shared" si="3"/>
        <v>0</v>
      </c>
      <c r="V27" s="374">
        <f t="shared" si="4"/>
        <v>4.8012395167584785</v>
      </c>
      <c r="W27" s="374">
        <f>IF(E27="","",IF(H27&lt;S27+T27,"Error in Areas ▲",IF(P27&lt;&gt;'G-1 All Habitats'!$X$3,H27-S27-T27,IF(AND(P27='G-1 All Habitats'!$X$3,Y27="Yes"),"Unacceptable Loss ⚠",IF(AND(P27='G-1 All Habitats'!$X$3,Y27="No"),AC27,IF(AND(P27='G-1 All Habitats'!$X$3,Y27=""),AC27,IF(AND(P27='G-1 All Habitats'!$X$3,AC27="None",AC27),IF(AND(P27='G-1 All Habitats'!$X$3,AC27&gt;0),H27-S27-T27))))))))</f>
        <v>0</v>
      </c>
      <c r="X27" s="378">
        <f>IFERROR(IF(H27="","",IF(H27-S27-T27=0&lt;0,"Error in Areas ▲",IF(S27+T27&gt;H27,"Error in Areas ▲",IF(AND(P27='G-1 All Habitats'!$X$3,Y27="Yes"),"Alternative Compensation ✓",IF(W27=0,0,IF(P27='G-1 All Habitats'!$X$3,"Any Loss Unacceptable ▲",Q27-U27-V27)))))),"Check Data ▲")</f>
        <v>0</v>
      </c>
      <c r="Y27" s="55"/>
      <c r="Z27" s="62" t="s">
        <v>1684</v>
      </c>
      <c r="AA27" s="526"/>
      <c r="AB27" s="120"/>
      <c r="AC27" s="726" t="str">
        <f>IF(P27="","",IF(P27='G-1 All Habitats'!$X$3,H27-S27-T27,"None"))</f>
        <v>None</v>
      </c>
      <c r="AD27" s="727" t="str">
        <f>IF(P27="","", IF(P27='G-1 All Habitats'!$X$3, AC27*J27*L27*O27,"None"))</f>
        <v>None</v>
      </c>
      <c r="AF27" s="40" t="b">
        <f t="shared" si="0"/>
        <v>0</v>
      </c>
      <c r="AG27" s="40" t="b">
        <f t="shared" si="1"/>
        <v>1</v>
      </c>
      <c r="AH27" s="40" t="e">
        <f>IF(I27="","",IF(#REF!&gt;0,TRUE,FALSE))</f>
        <v>#REF!</v>
      </c>
      <c r="AI27" s="40">
        <v>17</v>
      </c>
      <c r="AJ27" s="40"/>
      <c r="AK27" s="40">
        <f t="array" ref="AK27">IFERROR(INDEX($AI$11:$AI$259, MATCH(0, IF(TRUE=$AF$11:$AF$259, COUNTIF($AK$10:$AK26, $AI$11:$AI$259), ""), 0)),"")</f>
        <v>28</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t="28.5" x14ac:dyDescent="0.2">
      <c r="A28" s="35" t="str">
        <f>IFERROR(INDEX('G-1 All Habitats'!$AG$3:$AG$17,MATCH(E28,'G-1 All Habitats'!$AF$3:$AF$17,0)),"")</f>
        <v>Grassland</v>
      </c>
      <c r="B28" s="35" t="str">
        <f>IFERROR(INDEX('G-8 Condition Look up'!$I$4:$I$135,MATCH(G28,'G-8 Condition Look up'!$A$4:$A$135,0)),"")</f>
        <v>Cond4</v>
      </c>
      <c r="D28" s="287">
        <v>18</v>
      </c>
      <c r="E28" s="267" t="s">
        <v>125</v>
      </c>
      <c r="F28" s="61" t="s">
        <v>540</v>
      </c>
      <c r="G28" s="52" t="str">
        <f>IFERROR(INDEX('G-1 All Habitats'!$B$3:$B$134,MATCH(F28,'G-1 All Habitats'!$A$3:$A$134,0)),"")</f>
        <v>Grassland - Modified grassland</v>
      </c>
      <c r="H28" s="53">
        <v>4.1871810591474494</v>
      </c>
      <c r="I28" s="362" t="str">
        <f>IF(G28="","",VLOOKUP(G28,'G-1 All Habitats'!$B$2:$M$134,10,FALSE))</f>
        <v>Low</v>
      </c>
      <c r="J28" s="363">
        <f>IFERROR(VLOOKUP(I28,'G-1 All Habitats'!$V$3:$W$7,2,FALSE),"")</f>
        <v>2</v>
      </c>
      <c r="K28" s="54" t="s">
        <v>329</v>
      </c>
      <c r="L28" s="363">
        <f>IFERROR(INDEX('G-8 Condition Look up'!$A$3:$H$135,MATCH(G28,'G-8 Condition Look up'!$A$3:$A$135,0),MATCH(K28,'G-8 Condition Look up'!$A$3:$H$3,0)),"")</f>
        <v>1</v>
      </c>
      <c r="M28" s="54" t="s">
        <v>1037</v>
      </c>
      <c r="N28" s="382" t="str">
        <f>IF(M28="","",IF(VLOOKUP(M28,'G-3 Multipliers'!$L$3:$N$6,2,FALSE)=0,"Spatial Data Missing",VLOOKUP(M28,'G-3 Multipliers'!$L$3:$N$6,2,FALSE)))</f>
        <v>Low Strategic Significance</v>
      </c>
      <c r="O28" s="368">
        <f>IF(M28="","",IF(VLOOKUP(M28,'G-3 Multipliers'!$L$3:$N$6,3,FALSE)=0,"Spatial Data Missing ▲",VLOOKUP(M28,'G-3 Multipliers'!$L$3:$N$6,3,FALSE)))</f>
        <v>1</v>
      </c>
      <c r="P28" s="369" t="str">
        <f>IFERROR(VLOOKUP(G28,'G-1 All Habitats'!$B$2:$M$134,12,FALSE),"")</f>
        <v>Same distinctiveness or better habitat required ≥</v>
      </c>
      <c r="Q28" s="376">
        <f>IFERROR(IF(P28="","",IF(AND(P28='G-1 All Habitats'!$X$3,T28&gt;0),U28+V28,IF(AND(P28='G-1 All Habitats'!$X$3,S28&gt;0),U28+V28,IF(AND(P28='G-1 All Habitats'!$X$3,AC28&gt;0),"Any Loss Unacceptable ⚠",IF(AND(P28='G-1 All Habitats'!$X$3,W28&gt;0),"Any Loss Unacceptable ⚠",H28*J28*L28*O28))))),"Check Data ▲")</f>
        <v>8.3743621182948988</v>
      </c>
      <c r="R28" s="38"/>
      <c r="S28" s="54">
        <v>0</v>
      </c>
      <c r="T28" s="55">
        <v>4.1871810591474494</v>
      </c>
      <c r="U28" s="374">
        <f t="shared" si="3"/>
        <v>0</v>
      </c>
      <c r="V28" s="374">
        <f t="shared" si="4"/>
        <v>8.3743621182948988</v>
      </c>
      <c r="W28" s="374">
        <f>IF(E28="","",IF(H28&lt;S28+T28,"Error in Areas ▲",IF(P28&lt;&gt;'G-1 All Habitats'!$X$3,H28-S28-T28,IF(AND(P28='G-1 All Habitats'!$X$3,Y28="Yes"),"Unacceptable Loss ⚠",IF(AND(P28='G-1 All Habitats'!$X$3,Y28="No"),AC28,IF(AND(P28='G-1 All Habitats'!$X$3,Y28=""),AC28,IF(AND(P28='G-1 All Habitats'!$X$3,AC28="None",AC28),IF(AND(P28='G-1 All Habitats'!$X$3,AC28&gt;0),H28-S28-T28))))))))</f>
        <v>0</v>
      </c>
      <c r="X28" s="378">
        <f>IFERROR(IF(H28="","",IF(H28-S28-T28=0&lt;0,"Error in Areas ▲",IF(S28+T28&gt;H28,"Error in Areas ▲",IF(AND(P28='G-1 All Habitats'!$X$3,Y28="Yes"),"Alternative Compensation ✓",IF(W28=0,0,IF(P28='G-1 All Habitats'!$X$3,"Any Loss Unacceptable ▲",Q28-U28-V28)))))),"Check Data ▲")</f>
        <v>0</v>
      </c>
      <c r="Y28" s="55"/>
      <c r="Z28" s="62" t="s">
        <v>1684</v>
      </c>
      <c r="AA28" s="526"/>
      <c r="AB28" s="120"/>
      <c r="AC28" s="726" t="str">
        <f>IF(P28="","",IF(P28='G-1 All Habitats'!$X$3,H28-S28-T28,"None"))</f>
        <v>None</v>
      </c>
      <c r="AD28" s="727" t="str">
        <f>IF(P28="","", IF(P28='G-1 All Habitats'!$X$3, AC28*J28*L28*O28,"None"))</f>
        <v>None</v>
      </c>
      <c r="AF28" s="40" t="b">
        <f t="shared" si="0"/>
        <v>0</v>
      </c>
      <c r="AG28" s="40" t="b">
        <f t="shared" si="1"/>
        <v>1</v>
      </c>
      <c r="AH28" s="40" t="e">
        <f>IF(I28="","",IF(#REF!&gt;0,TRUE,FALSE))</f>
        <v>#REF!</v>
      </c>
      <c r="AI28" s="40">
        <v>18</v>
      </c>
      <c r="AJ28" s="40"/>
      <c r="AK28" s="40">
        <f t="array" ref="AK28">IFERROR(INDEX($AI$11:$AI$259, MATCH(0, IF(TRUE=$AF$11:$AF$259, COUNTIF($AK$10:$AK27, $AI$11:$AI$259), ""), 0)),"")</f>
        <v>30</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t="42.75" x14ac:dyDescent="0.2">
      <c r="A29" s="35" t="str">
        <f>IFERROR(INDEX('G-1 All Habitats'!$AG$3:$AG$17,MATCH(E29,'G-1 All Habitats'!$AF$3:$AF$17,0)),"")</f>
        <v>Cropland</v>
      </c>
      <c r="B29" s="35" t="str">
        <f>IFERROR(INDEX('G-8 Condition Look up'!$I$4:$I$135,MATCH(G29,'G-8 Condition Look up'!$A$4:$A$135,0)),"")</f>
        <v>Cond1</v>
      </c>
      <c r="D29" s="287">
        <v>19</v>
      </c>
      <c r="E29" s="267" t="s">
        <v>124</v>
      </c>
      <c r="F29" s="61" t="s">
        <v>470</v>
      </c>
      <c r="G29" s="52" t="str">
        <f>IFERROR(INDEX('G-1 All Habitats'!$B$3:$B$134,MATCH(F29,'G-1 All Habitats'!$A$3:$A$134,0)),"")</f>
        <v>Cropland - Arable field margins game bird mix</v>
      </c>
      <c r="H29" s="53">
        <v>0.76246766503952867</v>
      </c>
      <c r="I29" s="362" t="str">
        <f>IF(G29="","",VLOOKUP(G29,'G-1 All Habitats'!$B$2:$M$134,10,FALSE))</f>
        <v>Medium</v>
      </c>
      <c r="J29" s="363">
        <f>IFERROR(VLOOKUP(I29,'G-1 All Habitats'!$V$3:$W$7,2,FALSE),"")</f>
        <v>4</v>
      </c>
      <c r="K29" s="54" t="s">
        <v>493</v>
      </c>
      <c r="L29" s="363">
        <f>IFERROR(INDEX('G-8 Condition Look up'!$A$3:$H$135,MATCH(G29,'G-8 Condition Look up'!$A$3:$A$135,0),MATCH(K29,'G-8 Condition Look up'!$A$3:$H$3,0)),"")</f>
        <v>1</v>
      </c>
      <c r="M29" s="54" t="s">
        <v>1029</v>
      </c>
      <c r="N29" s="382" t="str">
        <f>IF(M29="","",IF(VLOOKUP(M29,'G-3 Multipliers'!$L$3:$N$6,2,FALSE)=0,"Spatial Data Missing",VLOOKUP(M29,'G-3 Multipliers'!$L$3:$N$6,2,FALSE)))</f>
        <v xml:space="preserve">High strategic significance </v>
      </c>
      <c r="O29" s="368">
        <f>IF(M29="","",IF(VLOOKUP(M29,'G-3 Multipliers'!$L$3:$N$6,3,FALSE)=0,"Spatial Data Missing ▲",VLOOKUP(M29,'G-3 Multipliers'!$L$3:$N$6,3,FALSE)))</f>
        <v>1.1499999999999999</v>
      </c>
      <c r="P29" s="369" t="str">
        <f>IFERROR(VLOOKUP(G29,'G-1 All Habitats'!$B$2:$M$134,12,FALSE),"")</f>
        <v>Same broad habitat or a higher distinctiveness habitat required (≥)</v>
      </c>
      <c r="Q29" s="376">
        <f>IFERROR(IF(P29="","",IF(AND(P29='G-1 All Habitats'!$X$3,T29&gt;0),U29+V29,IF(AND(P29='G-1 All Habitats'!$X$3,S29&gt;0),U29+V29,IF(AND(P29='G-1 All Habitats'!$X$3,AC29&gt;0),"Any Loss Unacceptable ⚠",IF(AND(P29='G-1 All Habitats'!$X$3,W29&gt;0),"Any Loss Unacceptable ⚠",H29*J29*L29*O29))))),"Check Data ▲")</f>
        <v>3.5073512591818314</v>
      </c>
      <c r="R29" s="38"/>
      <c r="S29" s="54">
        <v>0</v>
      </c>
      <c r="T29" s="55">
        <v>0</v>
      </c>
      <c r="U29" s="374">
        <f t="shared" si="3"/>
        <v>0</v>
      </c>
      <c r="V29" s="374">
        <f t="shared" si="4"/>
        <v>0</v>
      </c>
      <c r="W29" s="374">
        <f>IF(E29="","",IF(H29&lt;S29+T29,"Error in Areas ▲",IF(P29&lt;&gt;'G-1 All Habitats'!$X$3,H29-S29-T29,IF(AND(P29='G-1 All Habitats'!$X$3,Y29="Yes"),"Unacceptable Loss ⚠",IF(AND(P29='G-1 All Habitats'!$X$3,Y29="No"),AC29,IF(AND(P29='G-1 All Habitats'!$X$3,Y29=""),AC29,IF(AND(P29='G-1 All Habitats'!$X$3,AC29="None",AC29),IF(AND(P29='G-1 All Habitats'!$X$3,AC29&gt;0),H29-S29-T29))))))))</f>
        <v>0.76246766503952867</v>
      </c>
      <c r="X29" s="378">
        <f>IFERROR(IF(H29="","",IF(H29-S29-T29=0&lt;0,"Error in Areas ▲",IF(S29+T29&gt;H29,"Error in Areas ▲",IF(AND(P29='G-1 All Habitats'!$X$3,Y29="Yes"),"Alternative Compensation ✓",IF(W29=0,0,IF(P29='G-1 All Habitats'!$X$3,"Any Loss Unacceptable ▲",Q29-U29-V29)))))),"Check Data ▲")</f>
        <v>3.5073512591818314</v>
      </c>
      <c r="Y29" s="55"/>
      <c r="Z29" s="62" t="s">
        <v>1684</v>
      </c>
      <c r="AA29" s="526"/>
      <c r="AB29" s="120"/>
      <c r="AC29" s="726" t="str">
        <f>IF(P29="","",IF(P29='G-1 All Habitats'!$X$3,H29-S29-T29,"None"))</f>
        <v>None</v>
      </c>
      <c r="AD29" s="727" t="str">
        <f>IF(P29="","", IF(P29='G-1 All Habitats'!$X$3, AC29*J29*L29*O29,"None"))</f>
        <v>None</v>
      </c>
      <c r="AF29" s="40" t="b">
        <f t="shared" si="0"/>
        <v>0</v>
      </c>
      <c r="AG29" s="40" t="b">
        <f t="shared" si="1"/>
        <v>0</v>
      </c>
      <c r="AH29" s="40" t="e">
        <f>IF(I29="","",IF(#REF!&gt;0,TRUE,FALSE))</f>
        <v>#REF!</v>
      </c>
      <c r="AI29" s="40">
        <v>19</v>
      </c>
      <c r="AJ29" s="40"/>
      <c r="AK29" s="40">
        <f t="array" ref="AK29">IFERROR(INDEX($AI$11:$AI$259, MATCH(0, IF(TRUE=$AF$11:$AF$259, COUNTIF($AK$10:$AK28, $AI$11:$AI$259), ""), 0)),"")</f>
        <v>31</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t="28.5" x14ac:dyDescent="0.2">
      <c r="A30" s="35" t="str">
        <f>IFERROR(INDEX('G-1 All Habitats'!$AG$3:$AG$17,MATCH(E30,'G-1 All Habitats'!$AF$3:$AF$17,0)),"")</f>
        <v>Cropland</v>
      </c>
      <c r="B30" s="35" t="str">
        <f>IFERROR(INDEX('G-8 Condition Look up'!$I$4:$I$135,MATCH(G30,'G-8 Condition Look up'!$A$4:$A$135,0)),"")</f>
        <v>Cond1</v>
      </c>
      <c r="D30" s="287">
        <v>20</v>
      </c>
      <c r="E30" s="267" t="s">
        <v>124</v>
      </c>
      <c r="F30" s="61" t="s">
        <v>484</v>
      </c>
      <c r="G30" s="52" t="str">
        <f>IFERROR(INDEX('G-1 All Habitats'!$B$3:$B$134,MATCH(F30,'G-1 All Habitats'!$A$3:$A$134,0)),"")</f>
        <v>Cropland - Cereal crops</v>
      </c>
      <c r="H30" s="53">
        <v>102.288153248463</v>
      </c>
      <c r="I30" s="362" t="str">
        <f>IF(G30="","",VLOOKUP(G30,'G-1 All Habitats'!$B$2:$M$134,10,FALSE))</f>
        <v>Low</v>
      </c>
      <c r="J30" s="363">
        <f>IFERROR(VLOOKUP(I30,'G-1 All Habitats'!$V$3:$W$7,2,FALSE),"")</f>
        <v>2</v>
      </c>
      <c r="K30" s="54" t="s">
        <v>493</v>
      </c>
      <c r="L30" s="363">
        <f>IFERROR(INDEX('G-8 Condition Look up'!$A$3:$H$135,MATCH(G30,'G-8 Condition Look up'!$A$3:$A$135,0),MATCH(K30,'G-8 Condition Look up'!$A$3:$H$3,0)),"")</f>
        <v>1</v>
      </c>
      <c r="M30" s="54" t="s">
        <v>1029</v>
      </c>
      <c r="N30" s="382" t="str">
        <f>IF(M30="","",IF(VLOOKUP(M30,'G-3 Multipliers'!$L$3:$N$6,2,FALSE)=0,"Spatial Data Missing",VLOOKUP(M30,'G-3 Multipliers'!$L$3:$N$6,2,FALSE)))</f>
        <v xml:space="preserve">High strategic significance </v>
      </c>
      <c r="O30" s="368">
        <f>IF(M30="","",IF(VLOOKUP(M30,'G-3 Multipliers'!$L$3:$N$6,3,FALSE)=0,"Spatial Data Missing ▲",VLOOKUP(M30,'G-3 Multipliers'!$L$3:$N$6,3,FALSE)))</f>
        <v>1.1499999999999999</v>
      </c>
      <c r="P30" s="369" t="str">
        <f>IFERROR(VLOOKUP(G30,'G-1 All Habitats'!$B$2:$M$134,12,FALSE),"")</f>
        <v>Same distinctiveness or better habitat required ≥</v>
      </c>
      <c r="Q30" s="376">
        <f>IFERROR(IF(P30="","",IF(AND(P30='G-1 All Habitats'!$X$3,T30&gt;0),U30+V30,IF(AND(P30='G-1 All Habitats'!$X$3,S30&gt;0),U30+V30,IF(AND(P30='G-1 All Habitats'!$X$3,AC30&gt;0),"Any Loss Unacceptable ⚠",IF(AND(P30='G-1 All Habitats'!$X$3,W30&gt;0),"Any Loss Unacceptable ⚠",H30*J30*L30*O30))))),"Check Data ▲")</f>
        <v>235.26275247146489</v>
      </c>
      <c r="R30" s="38"/>
      <c r="S30" s="54">
        <v>0.30286903439786134</v>
      </c>
      <c r="T30" s="55">
        <v>0</v>
      </c>
      <c r="U30" s="374">
        <f t="shared" si="3"/>
        <v>0.69659877911508106</v>
      </c>
      <c r="V30" s="374">
        <f t="shared" si="4"/>
        <v>0</v>
      </c>
      <c r="W30" s="374">
        <f>IF(E30="","",IF(H30&lt;S30+T30,"Error in Areas ▲",IF(P30&lt;&gt;'G-1 All Habitats'!$X$3,H30-S30-T30,IF(AND(P30='G-1 All Habitats'!$X$3,Y30="Yes"),"Unacceptable Loss ⚠",IF(AND(P30='G-1 All Habitats'!$X$3,Y30="No"),AC30,IF(AND(P30='G-1 All Habitats'!$X$3,Y30=""),AC30,IF(AND(P30='G-1 All Habitats'!$X$3,AC30="None",AC30),IF(AND(P30='G-1 All Habitats'!$X$3,AC30&gt;0),H30-S30-T30))))))))</f>
        <v>101.98528421406515</v>
      </c>
      <c r="X30" s="378">
        <f>IFERROR(IF(H30="","",IF(H30-S30-T30=0&lt;0,"Error in Areas ▲",IF(S30+T30&gt;H30,"Error in Areas ▲",IF(AND(P30='G-1 All Habitats'!$X$3,Y30="Yes"),"Alternative Compensation ✓",IF(W30=0,0,IF(P30='G-1 All Habitats'!$X$3,"Any Loss Unacceptable ▲",Q30-U30-V30)))))),"Check Data ▲")</f>
        <v>234.56615369234981</v>
      </c>
      <c r="Y30" s="55"/>
      <c r="Z30" s="62" t="s">
        <v>1684</v>
      </c>
      <c r="AA30" s="526"/>
      <c r="AB30" s="120"/>
      <c r="AC30" s="726" t="str">
        <f>IF(P30="","",IF(P30='G-1 All Habitats'!$X$3,H30-S30-T30,"None"))</f>
        <v>None</v>
      </c>
      <c r="AD30" s="727" t="str">
        <f>IF(P30="","", IF(P30='G-1 All Habitats'!$X$3, AC30*J30*L30*O30,"None"))</f>
        <v>None</v>
      </c>
      <c r="AF30" s="40" t="b">
        <f t="shared" si="0"/>
        <v>1</v>
      </c>
      <c r="AG30" s="40" t="b">
        <f t="shared" si="1"/>
        <v>0</v>
      </c>
      <c r="AH30" s="40" t="e">
        <f>IF(I30="","",IF(#REF!&gt;0,TRUE,FALSE))</f>
        <v>#REF!</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t="28.5" x14ac:dyDescent="0.2">
      <c r="A31" s="35" t="str">
        <f>IFERROR(INDEX('G-1 All Habitats'!$AG$3:$AG$17,MATCH(E31,'G-1 All Habitats'!$AF$3:$AF$17,0)),"")</f>
        <v>Grassland</v>
      </c>
      <c r="B31" s="35" t="str">
        <f>IFERROR(INDEX('G-8 Condition Look up'!$I$4:$I$135,MATCH(G31,'G-8 Condition Look up'!$A$4:$A$135,0)),"")</f>
        <v>Cond4</v>
      </c>
      <c r="D31" s="287">
        <v>21</v>
      </c>
      <c r="E31" s="267" t="s">
        <v>125</v>
      </c>
      <c r="F31" s="61" t="s">
        <v>540</v>
      </c>
      <c r="G31" s="52" t="str">
        <f>IFERROR(INDEX('G-1 All Habitats'!$B$3:$B$134,MATCH(F31,'G-1 All Habitats'!$A$3:$A$134,0)),"")</f>
        <v>Grassland - Modified grassland</v>
      </c>
      <c r="H31" s="53">
        <v>1.2666090323427356E-3</v>
      </c>
      <c r="I31" s="362" t="str">
        <f>IF(G31="","",VLOOKUP(G31,'G-1 All Habitats'!$B$2:$M$134,10,FALSE))</f>
        <v>Low</v>
      </c>
      <c r="J31" s="363">
        <f>IFERROR(VLOOKUP(I31,'G-1 All Habitats'!$V$3:$W$7,2,FALSE),"")</f>
        <v>2</v>
      </c>
      <c r="K31" s="54" t="s">
        <v>67</v>
      </c>
      <c r="L31" s="363">
        <f>IFERROR(INDEX('G-8 Condition Look up'!$A$3:$H$135,MATCH(G31,'G-8 Condition Look up'!$A$3:$A$135,0),MATCH(K31,'G-8 Condition Look up'!$A$3:$H$3,0)),"")</f>
        <v>2</v>
      </c>
      <c r="M31" s="54" t="s">
        <v>1029</v>
      </c>
      <c r="N31" s="382" t="str">
        <f>IF(M31="","",IF(VLOOKUP(M31,'G-3 Multipliers'!$L$3:$N$6,2,FALSE)=0,"Spatial Data Missing",VLOOKUP(M31,'G-3 Multipliers'!$L$3:$N$6,2,FALSE)))</f>
        <v xml:space="preserve">High strategic significance </v>
      </c>
      <c r="O31" s="368">
        <f>IF(M31="","",IF(VLOOKUP(M31,'G-3 Multipliers'!$L$3:$N$6,3,FALSE)=0,"Spatial Data Missing ▲",VLOOKUP(M31,'G-3 Multipliers'!$L$3:$N$6,3,FALSE)))</f>
        <v>1.1499999999999999</v>
      </c>
      <c r="P31" s="369" t="str">
        <f>IFERROR(VLOOKUP(G31,'G-1 All Habitats'!$B$2:$M$134,12,FALSE),"")</f>
        <v>Same distinctiveness or better habitat required ≥</v>
      </c>
      <c r="Q31" s="376">
        <f>IFERROR(IF(P31="","",IF(AND(P31='G-1 All Habitats'!$X$3,T31&gt;0),U31+V31,IF(AND(P31='G-1 All Habitats'!$X$3,S31&gt;0),U31+V31,IF(AND(P31='G-1 All Habitats'!$X$3,AC31&gt;0),"Any Loss Unacceptable ⚠",IF(AND(P31='G-1 All Habitats'!$X$3,W31&gt;0),"Any Loss Unacceptable ⚠",H31*J31*L31*O31))))),"Check Data ▲")</f>
        <v>5.8264015487765834E-3</v>
      </c>
      <c r="R31" s="38"/>
      <c r="S31" s="54">
        <v>0</v>
      </c>
      <c r="T31" s="55">
        <v>0</v>
      </c>
      <c r="U31" s="374">
        <f t="shared" si="3"/>
        <v>0</v>
      </c>
      <c r="V31" s="374">
        <f t="shared" si="4"/>
        <v>0</v>
      </c>
      <c r="W31" s="374">
        <f>IF(E31="","",IF(H31&lt;S31+T31,"Error in Areas ▲",IF(P31&lt;&gt;'G-1 All Habitats'!$X$3,H31-S31-T31,IF(AND(P31='G-1 All Habitats'!$X$3,Y31="Yes"),"Unacceptable Loss ⚠",IF(AND(P31='G-1 All Habitats'!$X$3,Y31="No"),AC31,IF(AND(P31='G-1 All Habitats'!$X$3,Y31=""),AC31,IF(AND(P31='G-1 All Habitats'!$X$3,AC31="None",AC31),IF(AND(P31='G-1 All Habitats'!$X$3,AC31&gt;0),H31-S31-T31))))))))</f>
        <v>1.2666090323427356E-3</v>
      </c>
      <c r="X31" s="378">
        <f>IFERROR(IF(H31="","",IF(H31-S31-T31=0&lt;0,"Error in Areas ▲",IF(S31+T31&gt;H31,"Error in Areas ▲",IF(AND(P31='G-1 All Habitats'!$X$3,Y31="Yes"),"Alternative Compensation ✓",IF(W31=0,0,IF(P31='G-1 All Habitats'!$X$3,"Any Loss Unacceptable ▲",Q31-U31-V31)))))),"Check Data ▲")</f>
        <v>5.8264015487765834E-3</v>
      </c>
      <c r="Y31" s="55"/>
      <c r="Z31" s="62" t="s">
        <v>1684</v>
      </c>
      <c r="AA31" s="526"/>
      <c r="AB31" s="120"/>
      <c r="AC31" s="726" t="str">
        <f>IF(P31="","",IF(P31='G-1 All Habitats'!$X$3,H31-S31-T31,"None"))</f>
        <v>None</v>
      </c>
      <c r="AD31" s="727" t="str">
        <f>IF(P31="","", IF(P31='G-1 All Habitats'!$X$3, AC31*J31*L31*O31,"None"))</f>
        <v>None</v>
      </c>
      <c r="AF31" s="40" t="b">
        <f t="shared" si="0"/>
        <v>0</v>
      </c>
      <c r="AG31" s="40" t="b">
        <f t="shared" si="1"/>
        <v>0</v>
      </c>
      <c r="AH31" s="40" t="e">
        <f>IF(I31="","",IF(#REF!&gt;0,TRUE,FALSE))</f>
        <v>#REF!</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t="28.5" x14ac:dyDescent="0.2">
      <c r="A32" s="35" t="str">
        <f>IFERROR(INDEX('G-1 All Habitats'!$AG$3:$AG$17,MATCH(E32,'G-1 All Habitats'!$AF$3:$AF$17,0)),"")</f>
        <v>Grassland</v>
      </c>
      <c r="B32" s="35" t="str">
        <f>IFERROR(INDEX('G-8 Condition Look up'!$I$4:$I$135,MATCH(G32,'G-8 Condition Look up'!$A$4:$A$135,0)),"")</f>
        <v>Cond4</v>
      </c>
      <c r="D32" s="287">
        <v>22</v>
      </c>
      <c r="E32" s="267" t="s">
        <v>125</v>
      </c>
      <c r="F32" s="61" t="s">
        <v>540</v>
      </c>
      <c r="G32" s="52" t="str">
        <f>IFERROR(INDEX('G-1 All Habitats'!$B$3:$B$134,MATCH(F32,'G-1 All Habitats'!$A$3:$A$134,0)),"")</f>
        <v>Grassland - Modified grassland</v>
      </c>
      <c r="H32" s="53">
        <v>43.256637731216834</v>
      </c>
      <c r="I32" s="362" t="str">
        <f>IF(G32="","",VLOOKUP(G32,'G-1 All Habitats'!$B$2:$M$134,10,FALSE))</f>
        <v>Low</v>
      </c>
      <c r="J32" s="363">
        <f>IFERROR(VLOOKUP(I32,'G-1 All Habitats'!$V$3:$W$7,2,FALSE),"")</f>
        <v>2</v>
      </c>
      <c r="K32" s="54" t="s">
        <v>329</v>
      </c>
      <c r="L32" s="363">
        <f>IFERROR(INDEX('G-8 Condition Look up'!$A$3:$H$135,MATCH(G32,'G-8 Condition Look up'!$A$3:$A$135,0),MATCH(K32,'G-8 Condition Look up'!$A$3:$H$3,0)),"")</f>
        <v>1</v>
      </c>
      <c r="M32" s="54" t="s">
        <v>1029</v>
      </c>
      <c r="N32" s="382" t="str">
        <f>IF(M32="","",IF(VLOOKUP(M32,'G-3 Multipliers'!$L$3:$N$6,2,FALSE)=0,"Spatial Data Missing",VLOOKUP(M32,'G-3 Multipliers'!$L$3:$N$6,2,FALSE)))</f>
        <v xml:space="preserve">High strategic significance </v>
      </c>
      <c r="O32" s="368">
        <f>IF(M32="","",IF(VLOOKUP(M32,'G-3 Multipliers'!$L$3:$N$6,3,FALSE)=0,"Spatial Data Missing ▲",VLOOKUP(M32,'G-3 Multipliers'!$L$3:$N$6,3,FALSE)))</f>
        <v>1.1499999999999999</v>
      </c>
      <c r="P32" s="369" t="str">
        <f>IFERROR(VLOOKUP(G32,'G-1 All Habitats'!$B$2:$M$134,12,FALSE),"")</f>
        <v>Same distinctiveness or better habitat required ≥</v>
      </c>
      <c r="Q32" s="376">
        <f>IFERROR(IF(P32="","",IF(AND(P32='G-1 All Habitats'!$X$3,T32&gt;0),U32+V32,IF(AND(P32='G-1 All Habitats'!$X$3,S32&gt;0),U32+V32,IF(AND(P32='G-1 All Habitats'!$X$3,AC32&gt;0),"Any Loss Unacceptable ⚠",IF(AND(P32='G-1 All Habitats'!$X$3,W32&gt;0),"Any Loss Unacceptable ⚠",H32*J32*L32*O32))))),"Check Data ▲")</f>
        <v>99.490266781798709</v>
      </c>
      <c r="R32" s="38"/>
      <c r="S32" s="54">
        <v>0.45382514284245073</v>
      </c>
      <c r="T32" s="55">
        <v>0</v>
      </c>
      <c r="U32" s="374">
        <f t="shared" si="3"/>
        <v>1.0437978285376366</v>
      </c>
      <c r="V32" s="374">
        <f t="shared" si="4"/>
        <v>0</v>
      </c>
      <c r="W32" s="374">
        <f>IF(E32="","",IF(H32&lt;S32+T32,"Error in Areas ▲",IF(P32&lt;&gt;'G-1 All Habitats'!$X$3,H32-S32-T32,IF(AND(P32='G-1 All Habitats'!$X$3,Y32="Yes"),"Unacceptable Loss ⚠",IF(AND(P32='G-1 All Habitats'!$X$3,Y32="No"),AC32,IF(AND(P32='G-1 All Habitats'!$X$3,Y32=""),AC32,IF(AND(P32='G-1 All Habitats'!$X$3,AC32="None",AC32),IF(AND(P32='G-1 All Habitats'!$X$3,AC32&gt;0),H32-S32-T32))))))))</f>
        <v>42.802812588374387</v>
      </c>
      <c r="X32" s="378">
        <f>IFERROR(IF(H32="","",IF(H32-S32-T32=0&lt;0,"Error in Areas ▲",IF(S32+T32&gt;H32,"Error in Areas ▲",IF(AND(P32='G-1 All Habitats'!$X$3,Y32="Yes"),"Alternative Compensation ✓",IF(W32=0,0,IF(P32='G-1 All Habitats'!$X$3,"Any Loss Unacceptable ▲",Q32-U32-V32)))))),"Check Data ▲")</f>
        <v>98.446468953261075</v>
      </c>
      <c r="Y32" s="55"/>
      <c r="Z32" s="62" t="s">
        <v>1684</v>
      </c>
      <c r="AA32" s="526"/>
      <c r="AB32" s="120"/>
      <c r="AC32" s="726" t="str">
        <f>IF(P32="","",IF(P32='G-1 All Habitats'!$X$3,H32-S32-T32,"None"))</f>
        <v>None</v>
      </c>
      <c r="AD32" s="727" t="str">
        <f>IF(P32="","", IF(P32='G-1 All Habitats'!$X$3, AC32*J32*L32*O32,"None"))</f>
        <v>None</v>
      </c>
      <c r="AF32" s="40" t="b">
        <f t="shared" si="0"/>
        <v>1</v>
      </c>
      <c r="AG32" s="40" t="b">
        <f t="shared" si="1"/>
        <v>0</v>
      </c>
      <c r="AH32" s="40" t="e">
        <f>IF(I32="","",IF(#REF!&gt;0,TRUE,FALSE))</f>
        <v>#REF!</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t="42.75" x14ac:dyDescent="0.2">
      <c r="A33" s="35" t="str">
        <f>IFERROR(INDEX('G-1 All Habitats'!$AG$3:$AG$17,MATCH(E33,'G-1 All Habitats'!$AF$3:$AF$17,0)),"")</f>
        <v>Grassland</v>
      </c>
      <c r="B33" s="35" t="str">
        <f>IFERROR(INDEX('G-8 Condition Look up'!$I$4:$I$135,MATCH(G33,'G-8 Condition Look up'!$A$4:$A$135,0)),"")</f>
        <v>Cond4</v>
      </c>
      <c r="D33" s="287">
        <v>23</v>
      </c>
      <c r="E33" s="267" t="s">
        <v>125</v>
      </c>
      <c r="F33" s="61" t="s">
        <v>547</v>
      </c>
      <c r="G33" s="52" t="str">
        <f>IFERROR(INDEX('G-1 All Habitats'!$B$3:$B$134,MATCH(F33,'G-1 All Habitats'!$A$3:$A$134,0)),"")</f>
        <v>Grassland - Other neutral grassland</v>
      </c>
      <c r="H33" s="53">
        <v>0.10678713358898596</v>
      </c>
      <c r="I33" s="362" t="str">
        <f>IF(G33="","",VLOOKUP(G33,'G-1 All Habitats'!$B$2:$M$134,10,FALSE))</f>
        <v>Medium</v>
      </c>
      <c r="J33" s="363">
        <f>IFERROR(VLOOKUP(I33,'G-1 All Habitats'!$V$3:$W$7,2,FALSE),"")</f>
        <v>4</v>
      </c>
      <c r="K33" s="54" t="s">
        <v>329</v>
      </c>
      <c r="L33" s="363">
        <f>IFERROR(INDEX('G-8 Condition Look up'!$A$3:$H$135,MATCH(G33,'G-8 Condition Look up'!$A$3:$A$135,0),MATCH(K33,'G-8 Condition Look up'!$A$3:$H$3,0)),"")</f>
        <v>1</v>
      </c>
      <c r="M33" s="54" t="s">
        <v>1029</v>
      </c>
      <c r="N33" s="382" t="str">
        <f>IF(M33="","",IF(VLOOKUP(M33,'G-3 Multipliers'!$L$3:$N$6,2,FALSE)=0,"Spatial Data Missing",VLOOKUP(M33,'G-3 Multipliers'!$L$3:$N$6,2,FALSE)))</f>
        <v xml:space="preserve">High strategic significance </v>
      </c>
      <c r="O33" s="368">
        <f>IF(M33="","",IF(VLOOKUP(M33,'G-3 Multipliers'!$L$3:$N$6,3,FALSE)=0,"Spatial Data Missing ▲",VLOOKUP(M33,'G-3 Multipliers'!$L$3:$N$6,3,FALSE)))</f>
        <v>1.1499999999999999</v>
      </c>
      <c r="P33" s="369" t="str">
        <f>IFERROR(VLOOKUP(G33,'G-1 All Habitats'!$B$2:$M$134,12,FALSE),"")</f>
        <v>Same broad habitat or a higher distinctiveness habitat required (≥)</v>
      </c>
      <c r="Q33" s="376">
        <f>IFERROR(IF(P33="","",IF(AND(P33='G-1 All Habitats'!$X$3,T33&gt;0),U33+V33,IF(AND(P33='G-1 All Habitats'!$X$3,S33&gt;0),U33+V33,IF(AND(P33='G-1 All Habitats'!$X$3,AC33&gt;0),"Any Loss Unacceptable ⚠",IF(AND(P33='G-1 All Habitats'!$X$3,W33&gt;0),"Any Loss Unacceptable ⚠",H33*J33*L33*O33))))),"Check Data ▲")</f>
        <v>0.49122081450933541</v>
      </c>
      <c r="R33" s="38"/>
      <c r="S33" s="54">
        <v>0</v>
      </c>
      <c r="T33" s="55">
        <v>0</v>
      </c>
      <c r="U33" s="374">
        <f t="shared" si="3"/>
        <v>0</v>
      </c>
      <c r="V33" s="374">
        <f t="shared" si="4"/>
        <v>0</v>
      </c>
      <c r="W33" s="374">
        <f>IF(E33="","",IF(H33&lt;S33+T33,"Error in Areas ▲",IF(P33&lt;&gt;'G-1 All Habitats'!$X$3,H33-S33-T33,IF(AND(P33='G-1 All Habitats'!$X$3,Y33="Yes"),"Unacceptable Loss ⚠",IF(AND(P33='G-1 All Habitats'!$X$3,Y33="No"),AC33,IF(AND(P33='G-1 All Habitats'!$X$3,Y33=""),AC33,IF(AND(P33='G-1 All Habitats'!$X$3,AC33="None",AC33),IF(AND(P33='G-1 All Habitats'!$X$3,AC33&gt;0),H33-S33-T33))))))))</f>
        <v>0.10678713358898596</v>
      </c>
      <c r="X33" s="378">
        <f>IFERROR(IF(H33="","",IF(H33-S33-T33=0&lt;0,"Error in Areas ▲",IF(S33+T33&gt;H33,"Error in Areas ▲",IF(AND(P33='G-1 All Habitats'!$X$3,Y33="Yes"),"Alternative Compensation ✓",IF(W33=0,0,IF(P33='G-1 All Habitats'!$X$3,"Any Loss Unacceptable ▲",Q33-U33-V33)))))),"Check Data ▲")</f>
        <v>0.49122081450933541</v>
      </c>
      <c r="Y33" s="55"/>
      <c r="Z33" s="62" t="s">
        <v>1684</v>
      </c>
      <c r="AA33" s="526"/>
      <c r="AB33" s="120"/>
      <c r="AC33" s="726" t="str">
        <f>IF(P33="","",IF(P33='G-1 All Habitats'!$X$3,H33-S33-T33,"None"))</f>
        <v>None</v>
      </c>
      <c r="AD33" s="727" t="str">
        <f>IF(P33="","", IF(P33='G-1 All Habitats'!$X$3, AC33*J33*L33*O33,"None"))</f>
        <v>None</v>
      </c>
      <c r="AF33" s="40" t="b">
        <f t="shared" si="0"/>
        <v>0</v>
      </c>
      <c r="AG33" s="40" t="b">
        <f t="shared" si="1"/>
        <v>0</v>
      </c>
      <c r="AH33" s="40" t="e">
        <f>IF(I33="","",IF(#REF!&gt;0,TRUE,FALSE))</f>
        <v>#REF!</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t="42.75" x14ac:dyDescent="0.2">
      <c r="A34" s="35" t="str">
        <f>IFERROR(INDEX('G-1 All Habitats'!$AG$3:$AG$17,MATCH(E34,'G-1 All Habitats'!$AF$3:$AF$17,0)),"")</f>
        <v>Heathland_and_shrub</v>
      </c>
      <c r="B34" s="35" t="str">
        <f>IFERROR(INDEX('G-8 Condition Look up'!$I$4:$I$135,MATCH(G34,'G-8 Condition Look up'!$A$4:$A$135,0)),"")</f>
        <v>Cond4</v>
      </c>
      <c r="D34" s="287">
        <v>24</v>
      </c>
      <c r="E34" s="267" t="s">
        <v>126</v>
      </c>
      <c r="F34" s="61" t="s">
        <v>589</v>
      </c>
      <c r="G34" s="52" t="str">
        <f>IFERROR(INDEX('G-1 All Habitats'!$B$3:$B$134,MATCH(F34,'G-1 All Habitats'!$A$3:$A$134,0)),"")</f>
        <v>Heathland and shrub - Mixed scrub</v>
      </c>
      <c r="H34" s="53">
        <v>0.91090217550758001</v>
      </c>
      <c r="I34" s="362" t="str">
        <f>IF(G34="","",VLOOKUP(G34,'G-1 All Habitats'!$B$2:$M$134,10,FALSE))</f>
        <v>Medium</v>
      </c>
      <c r="J34" s="363">
        <f>IFERROR(VLOOKUP(I34,'G-1 All Habitats'!$V$3:$W$7,2,FALSE),"")</f>
        <v>4</v>
      </c>
      <c r="K34" s="54" t="s">
        <v>67</v>
      </c>
      <c r="L34" s="363">
        <f>IFERROR(INDEX('G-8 Condition Look up'!$A$3:$H$135,MATCH(G34,'G-8 Condition Look up'!$A$3:$A$135,0),MATCH(K34,'G-8 Condition Look up'!$A$3:$H$3,0)),"")</f>
        <v>2</v>
      </c>
      <c r="M34" s="54" t="s">
        <v>1029</v>
      </c>
      <c r="N34" s="382" t="str">
        <f>IF(M34="","",IF(VLOOKUP(M34,'G-3 Multipliers'!$L$3:$N$6,2,FALSE)=0,"Spatial Data Missing",VLOOKUP(M34,'G-3 Multipliers'!$L$3:$N$6,2,FALSE)))</f>
        <v xml:space="preserve">High strategic significance </v>
      </c>
      <c r="O34" s="368">
        <f>IF(M34="","",IF(VLOOKUP(M34,'G-3 Multipliers'!$L$3:$N$6,3,FALSE)=0,"Spatial Data Missing ▲",VLOOKUP(M34,'G-3 Multipliers'!$L$3:$N$6,3,FALSE)))</f>
        <v>1.1499999999999999</v>
      </c>
      <c r="P34" s="369" t="str">
        <f>IFERROR(VLOOKUP(G34,'G-1 All Habitats'!$B$2:$M$134,12,FALSE),"")</f>
        <v>Same broad habitat or a higher distinctiveness habitat required (≥)</v>
      </c>
      <c r="Q34" s="376">
        <f>IFERROR(IF(P34="","",IF(AND(P34='G-1 All Habitats'!$X$3,T34&gt;0),U34+V34,IF(AND(P34='G-1 All Habitats'!$X$3,S34&gt;0),U34+V34,IF(AND(P34='G-1 All Habitats'!$X$3,AC34&gt;0),"Any Loss Unacceptable ⚠",IF(AND(P34='G-1 All Habitats'!$X$3,W34&gt;0),"Any Loss Unacceptable ⚠",H34*J34*L34*O34))))),"Check Data ▲")</f>
        <v>8.3803000146697357</v>
      </c>
      <c r="R34" s="38"/>
      <c r="S34" s="54">
        <v>0.1070254927437794</v>
      </c>
      <c r="T34" s="55">
        <v>0</v>
      </c>
      <c r="U34" s="374">
        <f t="shared" si="3"/>
        <v>0.98463453324277039</v>
      </c>
      <c r="V34" s="374">
        <f t="shared" si="4"/>
        <v>0</v>
      </c>
      <c r="W34" s="374">
        <f>IF(E34="","",IF(H34&lt;S34+T34,"Error in Areas ▲",IF(P34&lt;&gt;'G-1 All Habitats'!$X$3,H34-S34-T34,IF(AND(P34='G-1 All Habitats'!$X$3,Y34="Yes"),"Unacceptable Loss ⚠",IF(AND(P34='G-1 All Habitats'!$X$3,Y34="No"),AC34,IF(AND(P34='G-1 All Habitats'!$X$3,Y34=""),AC34,IF(AND(P34='G-1 All Habitats'!$X$3,AC34="None",AC34),IF(AND(P34='G-1 All Habitats'!$X$3,AC34&gt;0),H34-S34-T34))))))))</f>
        <v>0.80387668276380064</v>
      </c>
      <c r="X34" s="378">
        <f>IFERROR(IF(H34="","",IF(H34-S34-T34=0&lt;0,"Error in Areas ▲",IF(S34+T34&gt;H34,"Error in Areas ▲",IF(AND(P34='G-1 All Habitats'!$X$3,Y34="Yes"),"Alternative Compensation ✓",IF(W34=0,0,IF(P34='G-1 All Habitats'!$X$3,"Any Loss Unacceptable ▲",Q34-U34-V34)))))),"Check Data ▲")</f>
        <v>7.3956654814269651</v>
      </c>
      <c r="Y34" s="55"/>
      <c r="Z34" s="62" t="s">
        <v>1684</v>
      </c>
      <c r="AA34" s="526"/>
      <c r="AB34" s="120"/>
      <c r="AC34" s="726" t="str">
        <f>IF(P34="","",IF(P34='G-1 All Habitats'!$X$3,H34-S34-T34,"None"))</f>
        <v>None</v>
      </c>
      <c r="AD34" s="727" t="str">
        <f>IF(P34="","", IF(P34='G-1 All Habitats'!$X$3, AC34*J34*L34*O34,"None"))</f>
        <v>None</v>
      </c>
      <c r="AF34" s="40" t="b">
        <f t="shared" si="0"/>
        <v>1</v>
      </c>
      <c r="AG34" s="40" t="b">
        <f t="shared" si="1"/>
        <v>0</v>
      </c>
      <c r="AH34" s="40" t="e">
        <f>IF(I34="","",IF(#REF!&gt;0,TRUE,FALSE))</f>
        <v>#REF!</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t="42.75" x14ac:dyDescent="0.2">
      <c r="A35" s="35" t="str">
        <f>IFERROR(INDEX('G-1 All Habitats'!$AG$3:$AG$17,MATCH(E35,'G-1 All Habitats'!$AF$3:$AF$17,0)),"")</f>
        <v>Lakes</v>
      </c>
      <c r="B35" s="35" t="str">
        <f>IFERROR(INDEX('G-8 Condition Look up'!$I$4:$I$135,MATCH(G35,'G-8 Condition Look up'!$A$4:$A$135,0)),"")</f>
        <v>Cond4</v>
      </c>
      <c r="D35" s="287">
        <v>25</v>
      </c>
      <c r="E35" s="267" t="s">
        <v>127</v>
      </c>
      <c r="F35" s="61" t="s">
        <v>641</v>
      </c>
      <c r="G35" s="52" t="str">
        <f>IFERROR(INDEX('G-1 All Habitats'!$B$3:$B$134,MATCH(F35,'G-1 All Habitats'!$A$3:$A$134,0)),"")</f>
        <v>Lakes - Ponds (non-priority habitat)</v>
      </c>
      <c r="H35" s="53">
        <v>1.9674123836259706E-2</v>
      </c>
      <c r="I35" s="362" t="str">
        <f>IF(G35="","",VLOOKUP(G35,'G-1 All Habitats'!$B$2:$M$134,10,FALSE))</f>
        <v>Medium</v>
      </c>
      <c r="J35" s="363">
        <f>IFERROR(VLOOKUP(I35,'G-1 All Habitats'!$V$3:$W$7,2,FALSE),"")</f>
        <v>4</v>
      </c>
      <c r="K35" s="54" t="s">
        <v>329</v>
      </c>
      <c r="L35" s="363">
        <f>IFERROR(INDEX('G-8 Condition Look up'!$A$3:$H$135,MATCH(G35,'G-8 Condition Look up'!$A$3:$A$135,0),MATCH(K35,'G-8 Condition Look up'!$A$3:$H$3,0)),"")</f>
        <v>1</v>
      </c>
      <c r="M35" s="54" t="s">
        <v>1029</v>
      </c>
      <c r="N35" s="382" t="str">
        <f>IF(M35="","",IF(VLOOKUP(M35,'G-3 Multipliers'!$L$3:$N$6,2,FALSE)=0,"Spatial Data Missing",VLOOKUP(M35,'G-3 Multipliers'!$L$3:$N$6,2,FALSE)))</f>
        <v xml:space="preserve">High strategic significance </v>
      </c>
      <c r="O35" s="368">
        <f>IF(M35="","",IF(VLOOKUP(M35,'G-3 Multipliers'!$L$3:$N$6,3,FALSE)=0,"Spatial Data Missing ▲",VLOOKUP(M35,'G-3 Multipliers'!$L$3:$N$6,3,FALSE)))</f>
        <v>1.1499999999999999</v>
      </c>
      <c r="P35" s="369" t="str">
        <f>IFERROR(VLOOKUP(G35,'G-1 All Habitats'!$B$2:$M$134,12,FALSE),"")</f>
        <v>Same broad habitat or a higher distinctiveness habitat required (≥)</v>
      </c>
      <c r="Q35" s="376">
        <f>IFERROR(IF(P35="","",IF(AND(P35='G-1 All Habitats'!$X$3,T35&gt;0),U35+V35,IF(AND(P35='G-1 All Habitats'!$X$3,S35&gt;0),U35+V35,IF(AND(P35='G-1 All Habitats'!$X$3,AC35&gt;0),"Any Loss Unacceptable ⚠",IF(AND(P35='G-1 All Habitats'!$X$3,W35&gt;0),"Any Loss Unacceptable ⚠",H35*J35*L35*O35))))),"Check Data ▲")</f>
        <v>9.0500969646794632E-2</v>
      </c>
      <c r="R35" s="38"/>
      <c r="S35" s="54">
        <v>1.9674123836259706E-2</v>
      </c>
      <c r="T35" s="55">
        <v>0</v>
      </c>
      <c r="U35" s="374">
        <f t="shared" si="3"/>
        <v>9.0500969646794632E-2</v>
      </c>
      <c r="V35" s="374">
        <f t="shared" si="4"/>
        <v>0</v>
      </c>
      <c r="W35" s="374">
        <f>IF(E35="","",IF(H35&lt;S35+T35,"Error in Areas ▲",IF(P35&lt;&gt;'G-1 All Habitats'!$X$3,H35-S35-T35,IF(AND(P35='G-1 All Habitats'!$X$3,Y35="Yes"),"Unacceptable Loss ⚠",IF(AND(P35='G-1 All Habitats'!$X$3,Y35="No"),AC35,IF(AND(P35='G-1 All Habitats'!$X$3,Y35=""),AC35,IF(AND(P35='G-1 All Habitats'!$X$3,AC35="None",AC35),IF(AND(P35='G-1 All Habitats'!$X$3,AC35&gt;0),H35-S35-T35))))))))</f>
        <v>0</v>
      </c>
      <c r="X35" s="378">
        <f>IFERROR(IF(H35="","",IF(H35-S35-T35=0&lt;0,"Error in Areas ▲",IF(S35+T35&gt;H35,"Error in Areas ▲",IF(AND(P35='G-1 All Habitats'!$X$3,Y35="Yes"),"Alternative Compensation ✓",IF(W35=0,0,IF(P35='G-1 All Habitats'!$X$3,"Any Loss Unacceptable ▲",Q35-U35-V35)))))),"Check Data ▲")</f>
        <v>0</v>
      </c>
      <c r="Y35" s="55"/>
      <c r="Z35" s="62" t="s">
        <v>1684</v>
      </c>
      <c r="AA35" s="526"/>
      <c r="AB35" s="120"/>
      <c r="AC35" s="726" t="str">
        <f>IF(P35="","",IF(P35='G-1 All Habitats'!$X$3,H35-S35-T35,"None"))</f>
        <v>None</v>
      </c>
      <c r="AD35" s="727" t="str">
        <f>IF(P35="","", IF(P35='G-1 All Habitats'!$X$3, AC35*J35*L35*O35,"None"))</f>
        <v>None</v>
      </c>
      <c r="AF35" s="40" t="b">
        <f t="shared" si="0"/>
        <v>1</v>
      </c>
      <c r="AG35" s="40" t="b">
        <f t="shared" si="1"/>
        <v>0</v>
      </c>
      <c r="AH35" s="40" t="e">
        <f>IF(I35="","",IF(#REF!&gt;0,TRUE,FALSE))</f>
        <v>#REF!</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t="28.5" x14ac:dyDescent="0.2">
      <c r="A36" s="35" t="str">
        <f>IFERROR(INDEX('G-1 All Habitats'!$AG$3:$AG$17,MATCH(E36,'G-1 All Habitats'!$AF$3:$AF$17,0)),"")</f>
        <v>Sparsely_vegetated_land</v>
      </c>
      <c r="B36" s="35" t="str">
        <f>IFERROR(INDEX('G-8 Condition Look up'!$I$4:$I$135,MATCH(G36,'G-8 Condition Look up'!$A$4:$A$135,0)),"")</f>
        <v>Cond4</v>
      </c>
      <c r="D36" s="287">
        <v>26</v>
      </c>
      <c r="E36" s="267" t="s">
        <v>128</v>
      </c>
      <c r="F36" s="61" t="s">
        <v>1685</v>
      </c>
      <c r="G36" s="52" t="str">
        <f>IFERROR(INDEX('G-1 All Habitats'!$B$3:$B$134,MATCH(F36,'G-1 All Habitats'!$A$3:$A$134,0)),"")</f>
        <v>Sparsely vegetated land - Ruderal/Ephemeral</v>
      </c>
      <c r="H36" s="53">
        <v>0.84796626165983935</v>
      </c>
      <c r="I36" s="362" t="str">
        <f>IF(G36="","",VLOOKUP(G36,'G-1 All Habitats'!$B$2:$M$134,10,FALSE))</f>
        <v>Low</v>
      </c>
      <c r="J36" s="363">
        <f>IFERROR(VLOOKUP(I36,'G-1 All Habitats'!$V$3:$W$7,2,FALSE),"")</f>
        <v>2</v>
      </c>
      <c r="K36" s="54" t="s">
        <v>67</v>
      </c>
      <c r="L36" s="363">
        <f>IFERROR(INDEX('G-8 Condition Look up'!$A$3:$H$135,MATCH(G36,'G-8 Condition Look up'!$A$3:$A$135,0),MATCH(K36,'G-8 Condition Look up'!$A$3:$H$3,0)),"")</f>
        <v>2</v>
      </c>
      <c r="M36" s="54" t="s">
        <v>1029</v>
      </c>
      <c r="N36" s="382" t="str">
        <f>IF(M36="","",IF(VLOOKUP(M36,'G-3 Multipliers'!$L$3:$N$6,2,FALSE)=0,"Spatial Data Missing",VLOOKUP(M36,'G-3 Multipliers'!$L$3:$N$6,2,FALSE)))</f>
        <v xml:space="preserve">High strategic significance </v>
      </c>
      <c r="O36" s="368">
        <f>IF(M36="","",IF(VLOOKUP(M36,'G-3 Multipliers'!$L$3:$N$6,3,FALSE)=0,"Spatial Data Missing ▲",VLOOKUP(M36,'G-3 Multipliers'!$L$3:$N$6,3,FALSE)))</f>
        <v>1.1499999999999999</v>
      </c>
      <c r="P36" s="369" t="str">
        <f>IFERROR(VLOOKUP(G36,'G-1 All Habitats'!$B$2:$M$134,12,FALSE),"")</f>
        <v>Same distinctiveness or better habitat required ≥</v>
      </c>
      <c r="Q36" s="376">
        <f>IFERROR(IF(P36="","",IF(AND(P36='G-1 All Habitats'!$X$3,T36&gt;0),U36+V36,IF(AND(P36='G-1 All Habitats'!$X$3,S36&gt;0),U36+V36,IF(AND(P36='G-1 All Habitats'!$X$3,AC36&gt;0),"Any Loss Unacceptable ⚠",IF(AND(P36='G-1 All Habitats'!$X$3,W36&gt;0),"Any Loss Unacceptable ⚠",H36*J36*L36*O36))))),"Check Data ▲")</f>
        <v>3.9006448036352608</v>
      </c>
      <c r="R36" s="38"/>
      <c r="S36" s="54">
        <v>0</v>
      </c>
      <c r="T36" s="55">
        <v>0</v>
      </c>
      <c r="U36" s="374">
        <f t="shared" si="3"/>
        <v>0</v>
      </c>
      <c r="V36" s="374">
        <f t="shared" si="4"/>
        <v>0</v>
      </c>
      <c r="W36" s="374">
        <f>IF(E36="","",IF(H36&lt;S36+T36,"Error in Areas ▲",IF(P36&lt;&gt;'G-1 All Habitats'!$X$3,H36-S36-T36,IF(AND(P36='G-1 All Habitats'!$X$3,Y36="Yes"),"Unacceptable Loss ⚠",IF(AND(P36='G-1 All Habitats'!$X$3,Y36="No"),AC36,IF(AND(P36='G-1 All Habitats'!$X$3,Y36=""),AC36,IF(AND(P36='G-1 All Habitats'!$X$3,AC36="None",AC36),IF(AND(P36='G-1 All Habitats'!$X$3,AC36&gt;0),H36-S36-T36))))))))</f>
        <v>0.84796626165983935</v>
      </c>
      <c r="X36" s="378">
        <f>IFERROR(IF(H36="","",IF(H36-S36-T36=0&lt;0,"Error in Areas ▲",IF(S36+T36&gt;H36,"Error in Areas ▲",IF(AND(P36='G-1 All Habitats'!$X$3,Y36="Yes"),"Alternative Compensation ✓",IF(W36=0,0,IF(P36='G-1 All Habitats'!$X$3,"Any Loss Unacceptable ▲",Q36-U36-V36)))))),"Check Data ▲")</f>
        <v>3.9006448036352608</v>
      </c>
      <c r="Y36" s="55"/>
      <c r="Z36" s="62" t="s">
        <v>1684</v>
      </c>
      <c r="AA36" s="526"/>
      <c r="AB36" s="120"/>
      <c r="AC36" s="726" t="str">
        <f>IF(P36="","",IF(P36='G-1 All Habitats'!$X$3,H36-S36-T36,"None"))</f>
        <v>None</v>
      </c>
      <c r="AD36" s="727" t="str">
        <f>IF(P36="","", IF(P36='G-1 All Habitats'!$X$3, AC36*J36*L36*O36,"None"))</f>
        <v>None</v>
      </c>
      <c r="AF36" s="40" t="b">
        <f t="shared" si="0"/>
        <v>0</v>
      </c>
      <c r="AG36" s="40" t="b">
        <f t="shared" si="1"/>
        <v>0</v>
      </c>
      <c r="AH36" s="40" t="e">
        <f>IF(I36="","",IF(#REF!&gt;0,TRUE,FALSE))</f>
        <v>#REF!</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t="28.5" x14ac:dyDescent="0.2">
      <c r="A37" s="35" t="str">
        <f>IFERROR(INDEX('G-1 All Habitats'!$AG$3:$AG$17,MATCH(E37,'G-1 All Habitats'!$AF$3:$AF$17,0)),"")</f>
        <v>Sparsely_vegetated_land</v>
      </c>
      <c r="B37" s="35" t="str">
        <f>IFERROR(INDEX('G-8 Condition Look up'!$I$4:$I$135,MATCH(G37,'G-8 Condition Look up'!$A$4:$A$135,0)),"")</f>
        <v>Cond4</v>
      </c>
      <c r="D37" s="287">
        <v>27</v>
      </c>
      <c r="E37" s="267" t="s">
        <v>128</v>
      </c>
      <c r="F37" s="61" t="s">
        <v>1685</v>
      </c>
      <c r="G37" s="52" t="str">
        <f>IFERROR(INDEX('G-1 All Habitats'!$B$3:$B$134,MATCH(F37,'G-1 All Habitats'!$A$3:$A$134,0)),"")</f>
        <v>Sparsely vegetated land - Ruderal/Ephemeral</v>
      </c>
      <c r="H37" s="53">
        <v>0.31996064847316841</v>
      </c>
      <c r="I37" s="362" t="str">
        <f>IF(G37="","",VLOOKUP(G37,'G-1 All Habitats'!$B$2:$M$134,10,FALSE))</f>
        <v>Low</v>
      </c>
      <c r="J37" s="363">
        <f>IFERROR(VLOOKUP(I37,'G-1 All Habitats'!$V$3:$W$7,2,FALSE),"")</f>
        <v>2</v>
      </c>
      <c r="K37" s="54" t="s">
        <v>329</v>
      </c>
      <c r="L37" s="363">
        <f>IFERROR(INDEX('G-8 Condition Look up'!$A$3:$H$135,MATCH(G37,'G-8 Condition Look up'!$A$3:$A$135,0),MATCH(K37,'G-8 Condition Look up'!$A$3:$H$3,0)),"")</f>
        <v>1</v>
      </c>
      <c r="M37" s="54" t="s">
        <v>1029</v>
      </c>
      <c r="N37" s="382" t="str">
        <f>IF(M37="","",IF(VLOOKUP(M37,'G-3 Multipliers'!$L$3:$N$6,2,FALSE)=0,"Spatial Data Missing",VLOOKUP(M37,'G-3 Multipliers'!$L$3:$N$6,2,FALSE)))</f>
        <v xml:space="preserve">High strategic significance </v>
      </c>
      <c r="O37" s="368">
        <f>IF(M37="","",IF(VLOOKUP(M37,'G-3 Multipliers'!$L$3:$N$6,3,FALSE)=0,"Spatial Data Missing ▲",VLOOKUP(M37,'G-3 Multipliers'!$L$3:$N$6,3,FALSE)))</f>
        <v>1.1499999999999999</v>
      </c>
      <c r="P37" s="369" t="str">
        <f>IFERROR(VLOOKUP(G37,'G-1 All Habitats'!$B$2:$M$134,12,FALSE),"")</f>
        <v>Same distinctiveness or better habitat required ≥</v>
      </c>
      <c r="Q37" s="376">
        <f>IFERROR(IF(P37="","",IF(AND(P37='G-1 All Habitats'!$X$3,T37&gt;0),U37+V37,IF(AND(P37='G-1 All Habitats'!$X$3,S37&gt;0),U37+V37,IF(AND(P37='G-1 All Habitats'!$X$3,AC37&gt;0),"Any Loss Unacceptable ⚠",IF(AND(P37='G-1 All Habitats'!$X$3,W37&gt;0),"Any Loss Unacceptable ⚠",H37*J37*L37*O37))))),"Check Data ▲")</f>
        <v>0.73590949148828733</v>
      </c>
      <c r="R37" s="38"/>
      <c r="S37" s="54">
        <v>0</v>
      </c>
      <c r="T37" s="55">
        <v>0</v>
      </c>
      <c r="U37" s="374">
        <f t="shared" si="3"/>
        <v>0</v>
      </c>
      <c r="V37" s="374">
        <f t="shared" si="4"/>
        <v>0</v>
      </c>
      <c r="W37" s="374">
        <f>IF(E37="","",IF(H37&lt;S37+T37,"Error in Areas ▲",IF(P37&lt;&gt;'G-1 All Habitats'!$X$3,H37-S37-T37,IF(AND(P37='G-1 All Habitats'!$X$3,Y37="Yes"),"Unacceptable Loss ⚠",IF(AND(P37='G-1 All Habitats'!$X$3,Y37="No"),AC37,IF(AND(P37='G-1 All Habitats'!$X$3,Y37=""),AC37,IF(AND(P37='G-1 All Habitats'!$X$3,AC37="None",AC37),IF(AND(P37='G-1 All Habitats'!$X$3,AC37&gt;0),H37-S37-T37))))))))</f>
        <v>0.31996064847316841</v>
      </c>
      <c r="X37" s="378">
        <f>IFERROR(IF(H37="","",IF(H37-S37-T37=0&lt;0,"Error in Areas ▲",IF(S37+T37&gt;H37,"Error in Areas ▲",IF(AND(P37='G-1 All Habitats'!$X$3,Y37="Yes"),"Alternative Compensation ✓",IF(W37=0,0,IF(P37='G-1 All Habitats'!$X$3,"Any Loss Unacceptable ▲",Q37-U37-V37)))))),"Check Data ▲")</f>
        <v>0.73590949148828733</v>
      </c>
      <c r="Y37" s="55"/>
      <c r="Z37" s="62" t="s">
        <v>1684</v>
      </c>
      <c r="AA37" s="526"/>
      <c r="AB37" s="120"/>
      <c r="AC37" s="726" t="str">
        <f>IF(P37="","",IF(P37='G-1 All Habitats'!$X$3,H37-S37-T37,"None"))</f>
        <v>None</v>
      </c>
      <c r="AD37" s="727" t="str">
        <f>IF(P37="","", IF(P37='G-1 All Habitats'!$X$3, AC37*J37*L37*O37,"None"))</f>
        <v>None</v>
      </c>
      <c r="AF37" s="40" t="b">
        <f t="shared" si="0"/>
        <v>0</v>
      </c>
      <c r="AG37" s="40" t="b">
        <f t="shared" si="1"/>
        <v>0</v>
      </c>
      <c r="AH37" s="40" t="e">
        <f>IF(I37="","",IF(#REF!&gt;0,TRUE,FALSE))</f>
        <v>#REF!</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t="28.5" x14ac:dyDescent="0.2">
      <c r="A38" s="35" t="str">
        <f>IFERROR(INDEX('G-1 All Habitats'!$AG$3:$AG$17,MATCH(E38,'G-1 All Habitats'!$AF$3:$AF$17,0)),"")</f>
        <v>Urban</v>
      </c>
      <c r="B38" s="35" t="str">
        <f>IFERROR(INDEX('G-8 Condition Look up'!$I$4:$I$135,MATCH(G38,'G-8 Condition Look up'!$A$4:$A$135,0)),"")</f>
        <v>Cond4</v>
      </c>
      <c r="D38" s="287">
        <v>28</v>
      </c>
      <c r="E38" s="267" t="s">
        <v>129</v>
      </c>
      <c r="F38" s="61" t="s">
        <v>737</v>
      </c>
      <c r="G38" s="52" t="str">
        <f>IFERROR(INDEX('G-1 All Habitats'!$B$3:$B$134,MATCH(F38,'G-1 All Habitats'!$A$3:$A$134,0)),"")</f>
        <v>Urban - Bare ground</v>
      </c>
      <c r="H38" s="53">
        <v>9.0754012821070845E-2</v>
      </c>
      <c r="I38" s="362" t="str">
        <f>IF(G38="","",VLOOKUP(G38,'G-1 All Habitats'!$B$2:$M$134,10,FALSE))</f>
        <v>Low</v>
      </c>
      <c r="J38" s="363">
        <f>IFERROR(VLOOKUP(I38,'G-1 All Habitats'!$V$3:$W$7,2,FALSE),"")</f>
        <v>2</v>
      </c>
      <c r="K38" s="54" t="s">
        <v>329</v>
      </c>
      <c r="L38" s="363">
        <f>IFERROR(INDEX('G-8 Condition Look up'!$A$3:$H$135,MATCH(G38,'G-8 Condition Look up'!$A$3:$A$135,0),MATCH(K38,'G-8 Condition Look up'!$A$3:$H$3,0)),"")</f>
        <v>1</v>
      </c>
      <c r="M38" s="54" t="s">
        <v>1029</v>
      </c>
      <c r="N38" s="382" t="str">
        <f>IF(M38="","",IF(VLOOKUP(M38,'G-3 Multipliers'!$L$3:$N$6,2,FALSE)=0,"Spatial Data Missing",VLOOKUP(M38,'G-3 Multipliers'!$L$3:$N$6,2,FALSE)))</f>
        <v xml:space="preserve">High strategic significance </v>
      </c>
      <c r="O38" s="368">
        <f>IF(M38="","",IF(VLOOKUP(M38,'G-3 Multipliers'!$L$3:$N$6,3,FALSE)=0,"Spatial Data Missing ▲",VLOOKUP(M38,'G-3 Multipliers'!$L$3:$N$6,3,FALSE)))</f>
        <v>1.1499999999999999</v>
      </c>
      <c r="P38" s="369" t="str">
        <f>IFERROR(VLOOKUP(G38,'G-1 All Habitats'!$B$2:$M$134,12,FALSE),"")</f>
        <v>Same distinctiveness or better habitat required ≥</v>
      </c>
      <c r="Q38" s="376">
        <f>IFERROR(IF(P38="","",IF(AND(P38='G-1 All Habitats'!$X$3,T38&gt;0),U38+V38,IF(AND(P38='G-1 All Habitats'!$X$3,S38&gt;0),U38+V38,IF(AND(P38='G-1 All Habitats'!$X$3,AC38&gt;0),"Any Loss Unacceptable ⚠",IF(AND(P38='G-1 All Habitats'!$X$3,W38&gt;0),"Any Loss Unacceptable ⚠",H38*J38*L38*O38))))),"Check Data ▲")</f>
        <v>0.20873422948846293</v>
      </c>
      <c r="R38" s="38"/>
      <c r="S38" s="54">
        <v>1.7034639996968662E-3</v>
      </c>
      <c r="T38" s="55">
        <v>0</v>
      </c>
      <c r="U38" s="374">
        <f t="shared" si="3"/>
        <v>3.9179671993027918E-3</v>
      </c>
      <c r="V38" s="374">
        <f t="shared" si="4"/>
        <v>0</v>
      </c>
      <c r="W38" s="374">
        <f>IF(E38="","",IF(H38&lt;S38+T38,"Error in Areas ▲",IF(P38&lt;&gt;'G-1 All Habitats'!$X$3,H38-S38-T38,IF(AND(P38='G-1 All Habitats'!$X$3,Y38="Yes"),"Unacceptable Loss ⚠",IF(AND(P38='G-1 All Habitats'!$X$3,Y38="No"),AC38,IF(AND(P38='G-1 All Habitats'!$X$3,Y38=""),AC38,IF(AND(P38='G-1 All Habitats'!$X$3,AC38="None",AC38),IF(AND(P38='G-1 All Habitats'!$X$3,AC38&gt;0),H38-S38-T38))))))))</f>
        <v>8.9050548821373976E-2</v>
      </c>
      <c r="X38" s="378">
        <f>IFERROR(IF(H38="","",IF(H38-S38-T38=0&lt;0,"Error in Areas ▲",IF(S38+T38&gt;H38,"Error in Areas ▲",IF(AND(P38='G-1 All Habitats'!$X$3,Y38="Yes"),"Alternative Compensation ✓",IF(W38=0,0,IF(P38='G-1 All Habitats'!$X$3,"Any Loss Unacceptable ▲",Q38-U38-V38)))))),"Check Data ▲")</f>
        <v>0.20481626228916014</v>
      </c>
      <c r="Y38" s="55"/>
      <c r="Z38" s="62" t="s">
        <v>1684</v>
      </c>
      <c r="AA38" s="526"/>
      <c r="AB38" s="120"/>
      <c r="AC38" s="726" t="str">
        <f>IF(P38="","",IF(P38='G-1 All Habitats'!$X$3,H38-S38-T38,"None"))</f>
        <v>None</v>
      </c>
      <c r="AD38" s="727" t="str">
        <f>IF(P38="","", IF(P38='G-1 All Habitats'!$X$3, AC38*J38*L38*O38,"None"))</f>
        <v>None</v>
      </c>
      <c r="AF38" s="40" t="b">
        <f t="shared" si="0"/>
        <v>1</v>
      </c>
      <c r="AG38" s="40" t="b">
        <f t="shared" si="1"/>
        <v>0</v>
      </c>
      <c r="AH38" s="40" t="e">
        <f>IF(I38="","",IF(#REF!&gt;0,TRUE,FALSE))</f>
        <v>#REF!</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t="28.5" x14ac:dyDescent="0.2">
      <c r="A39" s="35" t="str">
        <f>IFERROR(INDEX('G-1 All Habitats'!$AG$3:$AG$17,MATCH(E39,'G-1 All Habitats'!$AF$3:$AF$17,0)),"")</f>
        <v>Urban</v>
      </c>
      <c r="B39" s="35" t="str">
        <f>IFERROR(INDEX('G-8 Condition Look up'!$I$4:$I$135,MATCH(G39,'G-8 Condition Look up'!$A$4:$A$135,0)),"")</f>
        <v>Cond2</v>
      </c>
      <c r="D39" s="287">
        <v>29</v>
      </c>
      <c r="E39" s="267" t="s">
        <v>129</v>
      </c>
      <c r="F39" s="61" t="s">
        <v>699</v>
      </c>
      <c r="G39" s="52" t="str">
        <f>IFERROR(INDEX('G-1 All Habitats'!$B$3:$B$134,MATCH(F39,'G-1 All Habitats'!$A$3:$A$134,0)),"")</f>
        <v>Urban - Developed land; sealed surface</v>
      </c>
      <c r="H39" s="53">
        <v>6.8007327956172203E-2</v>
      </c>
      <c r="I39" s="362" t="str">
        <f>IF(G39="","",VLOOKUP(G39,'G-1 All Habitats'!$B$2:$M$134,10,FALSE))</f>
        <v>V.Low</v>
      </c>
      <c r="J39" s="363">
        <f>IFERROR(VLOOKUP(I39,'G-1 All Habitats'!$V$3:$W$7,2,FALSE),"")</f>
        <v>0</v>
      </c>
      <c r="K39" s="54" t="s">
        <v>497</v>
      </c>
      <c r="L39" s="363">
        <f>IFERROR(INDEX('G-8 Condition Look up'!$A$3:$H$135,MATCH(G39,'G-8 Condition Look up'!$A$3:$A$135,0),MATCH(K39,'G-8 Condition Look up'!$A$3:$H$3,0)),"")</f>
        <v>0</v>
      </c>
      <c r="M39" s="54" t="s">
        <v>1029</v>
      </c>
      <c r="N39" s="382" t="str">
        <f>IF(M39="","",IF(VLOOKUP(M39,'G-3 Multipliers'!$L$3:$N$6,2,FALSE)=0,"Spatial Data Missing",VLOOKUP(M39,'G-3 Multipliers'!$L$3:$N$6,2,FALSE)))</f>
        <v xml:space="preserve">High strategic significance </v>
      </c>
      <c r="O39" s="368">
        <f>IF(M39="","",IF(VLOOKUP(M39,'G-3 Multipliers'!$L$3:$N$6,3,FALSE)=0,"Spatial Data Missing ▲",VLOOKUP(M39,'G-3 Multipliers'!$L$3:$N$6,3,FALSE)))</f>
        <v>1.1499999999999999</v>
      </c>
      <c r="P39" s="369" t="str">
        <f>IFERROR(VLOOKUP(G39,'G-1 All Habitats'!$B$2:$M$134,12,FALSE),"")</f>
        <v>Compensation Not Required</v>
      </c>
      <c r="Q39" s="376">
        <f>IFERROR(IF(P39="","",IF(AND(P39='G-1 All Habitats'!$X$3,T39&gt;0),U39+V39,IF(AND(P39='G-1 All Habitats'!$X$3,S39&gt;0),U39+V39,IF(AND(P39='G-1 All Habitats'!$X$3,AC39&gt;0),"Any Loss Unacceptable ⚠",IF(AND(P39='G-1 All Habitats'!$X$3,W39&gt;0),"Any Loss Unacceptable ⚠",H39*J39*L39*O39))))),"Check Data ▲")</f>
        <v>0</v>
      </c>
      <c r="R39" s="38"/>
      <c r="S39" s="54">
        <v>0</v>
      </c>
      <c r="T39" s="55">
        <v>0</v>
      </c>
      <c r="U39" s="374">
        <f t="shared" si="3"/>
        <v>0</v>
      </c>
      <c r="V39" s="374">
        <f t="shared" si="4"/>
        <v>0</v>
      </c>
      <c r="W39" s="374">
        <f>IF(E39="","",IF(H39&lt;S39+T39,"Error in Areas ▲",IF(P39&lt;&gt;'G-1 All Habitats'!$X$3,H39-S39-T39,IF(AND(P39='G-1 All Habitats'!$X$3,Y39="Yes"),"Unacceptable Loss ⚠",IF(AND(P39='G-1 All Habitats'!$X$3,Y39="No"),AC39,IF(AND(P39='G-1 All Habitats'!$X$3,Y39=""),AC39,IF(AND(P39='G-1 All Habitats'!$X$3,AC39="None",AC39),IF(AND(P39='G-1 All Habitats'!$X$3,AC39&gt;0),H39-S39-T39))))))))</f>
        <v>6.8007327956172203E-2</v>
      </c>
      <c r="X39" s="378">
        <f>IFERROR(IF(H39="","",IF(H39-S39-T39=0&lt;0,"Error in Areas ▲",IF(S39+T39&gt;H39,"Error in Areas ▲",IF(AND(P39='G-1 All Habitats'!$X$3,Y39="Yes"),"Alternative Compensation ✓",IF(W39=0,0,IF(P39='G-1 All Habitats'!$X$3,"Any Loss Unacceptable ▲",Q39-U39-V39)))))),"Check Data ▲")</f>
        <v>0</v>
      </c>
      <c r="Y39" s="55"/>
      <c r="Z39" s="62" t="s">
        <v>1684</v>
      </c>
      <c r="AA39" s="526"/>
      <c r="AB39" s="120"/>
      <c r="AC39" s="726" t="str">
        <f>IF(P39="","",IF(P39='G-1 All Habitats'!$X$3,H39-S39-T39,"None"))</f>
        <v>None</v>
      </c>
      <c r="AD39" s="727" t="str">
        <f>IF(P39="","", IF(P39='G-1 All Habitats'!$X$3, AC39*J39*L39*O39,"None"))</f>
        <v>None</v>
      </c>
      <c r="AF39" s="40" t="b">
        <f t="shared" si="0"/>
        <v>0</v>
      </c>
      <c r="AG39" s="40" t="b">
        <f t="shared" si="1"/>
        <v>0</v>
      </c>
      <c r="AH39" s="40" t="e">
        <f>IF(I39="","",IF(#REF!&gt;0,TRUE,FALSE))</f>
        <v>#REF!</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t="28.5" x14ac:dyDescent="0.2">
      <c r="A40" s="35" t="str">
        <f>IFERROR(INDEX('G-1 All Habitats'!$AG$3:$AG$17,MATCH(E40,'G-1 All Habitats'!$AF$3:$AF$17,0)),"")</f>
        <v>Woodland_and_forest</v>
      </c>
      <c r="B40" s="35" t="str">
        <f>IFERROR(INDEX('G-8 Condition Look up'!$I$4:$I$135,MATCH(G40,'G-8 Condition Look up'!$A$4:$A$135,0)),"")</f>
        <v>Cond4</v>
      </c>
      <c r="D40" s="287">
        <v>30</v>
      </c>
      <c r="E40" s="267" t="s">
        <v>131</v>
      </c>
      <c r="F40" s="61" t="s">
        <v>788</v>
      </c>
      <c r="G40" s="52" t="str">
        <f>IFERROR(INDEX('G-1 All Habitats'!$B$3:$B$134,MATCH(F40,'G-1 All Habitats'!$A$3:$A$134,0)),"")</f>
        <v>Woodland and forest - Lowland mixed deciduous woodland</v>
      </c>
      <c r="H40" s="53">
        <v>1.4956583621966802E-3</v>
      </c>
      <c r="I40" s="362" t="str">
        <f>IF(G40="","",VLOOKUP(G40,'G-1 All Habitats'!$B$2:$M$134,10,FALSE))</f>
        <v>High</v>
      </c>
      <c r="J40" s="363">
        <f>IFERROR(VLOOKUP(I40,'G-1 All Habitats'!$V$3:$W$7,2,FALSE),"")</f>
        <v>6</v>
      </c>
      <c r="K40" s="54" t="s">
        <v>67</v>
      </c>
      <c r="L40" s="363">
        <f>IFERROR(INDEX('G-8 Condition Look up'!$A$3:$H$135,MATCH(G40,'G-8 Condition Look up'!$A$3:$A$135,0),MATCH(K40,'G-8 Condition Look up'!$A$3:$H$3,0)),"")</f>
        <v>2</v>
      </c>
      <c r="M40" s="54" t="s">
        <v>1029</v>
      </c>
      <c r="N40" s="382" t="str">
        <f>IF(M40="","",IF(VLOOKUP(M40,'G-3 Multipliers'!$L$3:$N$6,2,FALSE)=0,"Spatial Data Missing",VLOOKUP(M40,'G-3 Multipliers'!$L$3:$N$6,2,FALSE)))</f>
        <v xml:space="preserve">High strategic significance </v>
      </c>
      <c r="O40" s="368">
        <f>IF(M40="","",IF(VLOOKUP(M40,'G-3 Multipliers'!$L$3:$N$6,3,FALSE)=0,"Spatial Data Missing ▲",VLOOKUP(M40,'G-3 Multipliers'!$L$3:$N$6,3,FALSE)))</f>
        <v>1.1499999999999999</v>
      </c>
      <c r="P40" s="369" t="str">
        <f>IFERROR(VLOOKUP(G40,'G-1 All Habitats'!$B$2:$M$134,12,FALSE),"")</f>
        <v>Same habitat required =</v>
      </c>
      <c r="Q40" s="376">
        <f>IFERROR(IF(P40="","",IF(AND(P40='G-1 All Habitats'!$X$3,T40&gt;0),U40+V40,IF(AND(P40='G-1 All Habitats'!$X$3,S40&gt;0),U40+V40,IF(AND(P40='G-1 All Habitats'!$X$3,AC40&gt;0),"Any Loss Unacceptable ⚠",IF(AND(P40='G-1 All Habitats'!$X$3,W40&gt;0),"Any Loss Unacceptable ⚠",H40*J40*L40*O40))))),"Check Data ▲")</f>
        <v>2.0640085398314186E-2</v>
      </c>
      <c r="R40" s="38"/>
      <c r="S40" s="54">
        <v>1.4956583621966802E-3</v>
      </c>
      <c r="T40" s="55">
        <v>0</v>
      </c>
      <c r="U40" s="374">
        <f t="shared" si="3"/>
        <v>2.0640085398314186E-2</v>
      </c>
      <c r="V40" s="374">
        <f t="shared" si="4"/>
        <v>0</v>
      </c>
      <c r="W40" s="374">
        <f>IF(E40="","",IF(H40&lt;S40+T40,"Error in Areas ▲",IF(P40&lt;&gt;'G-1 All Habitats'!$X$3,H40-S40-T40,IF(AND(P40='G-1 All Habitats'!$X$3,Y40="Yes"),"Unacceptable Loss ⚠",IF(AND(P40='G-1 All Habitats'!$X$3,Y40="No"),AC40,IF(AND(P40='G-1 All Habitats'!$X$3,Y40=""),AC40,IF(AND(P40='G-1 All Habitats'!$X$3,AC40="None",AC40),IF(AND(P40='G-1 All Habitats'!$X$3,AC40&gt;0),H40-S40-T40))))))))</f>
        <v>0</v>
      </c>
      <c r="X40" s="378">
        <f>IFERROR(IF(H40="","",IF(H40-S40-T40=0&lt;0,"Error in Areas ▲",IF(S40+T40&gt;H40,"Error in Areas ▲",IF(AND(P40='G-1 All Habitats'!$X$3,Y40="Yes"),"Alternative Compensation ✓",IF(W40=0,0,IF(P40='G-1 All Habitats'!$X$3,"Any Loss Unacceptable ▲",Q40-U40-V40)))))),"Check Data ▲")</f>
        <v>0</v>
      </c>
      <c r="Y40" s="55"/>
      <c r="Z40" s="62" t="s">
        <v>1684</v>
      </c>
      <c r="AA40" s="526"/>
      <c r="AB40" s="120"/>
      <c r="AC40" s="726" t="str">
        <f>IF(P40="","",IF(P40='G-1 All Habitats'!$X$3,H40-S40-T40,"None"))</f>
        <v>None</v>
      </c>
      <c r="AD40" s="727" t="str">
        <f>IF(P40="","", IF(P40='G-1 All Habitats'!$X$3, AC40*J40*L40*O40,"None"))</f>
        <v>None</v>
      </c>
      <c r="AF40" s="40" t="b">
        <f t="shared" si="0"/>
        <v>1</v>
      </c>
      <c r="AG40" s="40" t="b">
        <f t="shared" si="1"/>
        <v>0</v>
      </c>
      <c r="AH40" s="40" t="e">
        <f>IF(I40="","",IF(#REF!&gt;0,TRUE,FALSE))</f>
        <v>#REF!</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t="42.75" x14ac:dyDescent="0.2">
      <c r="A41" s="35" t="str">
        <f>IFERROR(INDEX('G-1 All Habitats'!$AG$3:$AG$17,MATCH(E41,'G-1 All Habitats'!$AF$3:$AF$17,0)),"")</f>
        <v>Woodland_and_forest</v>
      </c>
      <c r="B41" s="35" t="str">
        <f>IFERROR(INDEX('G-8 Condition Look up'!$I$4:$I$135,MATCH(G41,'G-8 Condition Look up'!$A$4:$A$135,0)),"")</f>
        <v>Cond4</v>
      </c>
      <c r="D41" s="287">
        <v>31</v>
      </c>
      <c r="E41" s="267" t="s">
        <v>131</v>
      </c>
      <c r="F41" s="61" t="s">
        <v>803</v>
      </c>
      <c r="G41" s="52" t="str">
        <f>IFERROR(INDEX('G-1 All Habitats'!$B$3:$B$134,MATCH(F41,'G-1 All Habitats'!$A$3:$A$134,0)),"")</f>
        <v>Woodland and forest - Other woodland; broadleaved</v>
      </c>
      <c r="H41" s="53">
        <v>0.65483173525621341</v>
      </c>
      <c r="I41" s="362" t="str">
        <f>IF(G41="","",VLOOKUP(G41,'G-1 All Habitats'!$B$2:$M$134,10,FALSE))</f>
        <v>Medium</v>
      </c>
      <c r="J41" s="363">
        <f>IFERROR(VLOOKUP(I41,'G-1 All Habitats'!$V$3:$W$7,2,FALSE),"")</f>
        <v>4</v>
      </c>
      <c r="K41" s="54" t="s">
        <v>67</v>
      </c>
      <c r="L41" s="363">
        <f>IFERROR(INDEX('G-8 Condition Look up'!$A$3:$H$135,MATCH(G41,'G-8 Condition Look up'!$A$3:$A$135,0),MATCH(K41,'G-8 Condition Look up'!$A$3:$H$3,0)),"")</f>
        <v>2</v>
      </c>
      <c r="M41" s="54" t="s">
        <v>1029</v>
      </c>
      <c r="N41" s="382" t="str">
        <f>IF(M41="","",IF(VLOOKUP(M41,'G-3 Multipliers'!$L$3:$N$6,2,FALSE)=0,"Spatial Data Missing",VLOOKUP(M41,'G-3 Multipliers'!$L$3:$N$6,2,FALSE)))</f>
        <v xml:space="preserve">High strategic significance </v>
      </c>
      <c r="O41" s="368">
        <f>IF(M41="","",IF(VLOOKUP(M41,'G-3 Multipliers'!$L$3:$N$6,3,FALSE)=0,"Spatial Data Missing ▲",VLOOKUP(M41,'G-3 Multipliers'!$L$3:$N$6,3,FALSE)))</f>
        <v>1.1499999999999999</v>
      </c>
      <c r="P41" s="369" t="str">
        <f>IFERROR(VLOOKUP(G41,'G-1 All Habitats'!$B$2:$M$134,12,FALSE),"")</f>
        <v>Same broad habitat or a higher distinctiveness habitat required (≥)</v>
      </c>
      <c r="Q41" s="376">
        <f>IFERROR(IF(P41="","",IF(AND(P41='G-1 All Habitats'!$X$3,T41&gt;0),U41+V41,IF(AND(P41='G-1 All Habitats'!$X$3,S41&gt;0),U41+V41,IF(AND(P41='G-1 All Habitats'!$X$3,AC41&gt;0),"Any Loss Unacceptable ⚠",IF(AND(P41='G-1 All Habitats'!$X$3,W41&gt;0),"Any Loss Unacceptable ⚠",H41*J41*L41*O41))))),"Check Data ▲")</f>
        <v>6.024451964357163</v>
      </c>
      <c r="R41" s="38"/>
      <c r="S41" s="54">
        <v>0.58013741280218756</v>
      </c>
      <c r="T41" s="55">
        <v>0</v>
      </c>
      <c r="U41" s="374">
        <f t="shared" si="3"/>
        <v>5.337264197780125</v>
      </c>
      <c r="V41" s="374">
        <f t="shared" si="4"/>
        <v>0</v>
      </c>
      <c r="W41" s="374">
        <f>IF(E41="","",IF(H41&lt;S41+T41,"Error in Areas ▲",IF(P41&lt;&gt;'G-1 All Habitats'!$X$3,H41-S41-T41,IF(AND(P41='G-1 All Habitats'!$X$3,Y41="Yes"),"Unacceptable Loss ⚠",IF(AND(P41='G-1 All Habitats'!$X$3,Y41="No"),AC41,IF(AND(P41='G-1 All Habitats'!$X$3,Y41=""),AC41,IF(AND(P41='G-1 All Habitats'!$X$3,AC41="None",AC41),IF(AND(P41='G-1 All Habitats'!$X$3,AC41&gt;0),H41-S41-T41))))))))</f>
        <v>7.4694322454025852E-2</v>
      </c>
      <c r="X41" s="378">
        <f>IFERROR(IF(H41="","",IF(H41-S41-T41=0&lt;0,"Error in Areas ▲",IF(S41+T41&gt;H41,"Error in Areas ▲",IF(AND(P41='G-1 All Habitats'!$X$3,Y41="Yes"),"Alternative Compensation ✓",IF(W41=0,0,IF(P41='G-1 All Habitats'!$X$3,"Any Loss Unacceptable ▲",Q41-U41-V41)))))),"Check Data ▲")</f>
        <v>0.68718776657703806</v>
      </c>
      <c r="Y41" s="55"/>
      <c r="Z41" s="62" t="s">
        <v>1684</v>
      </c>
      <c r="AA41" s="526"/>
      <c r="AB41" s="120"/>
      <c r="AC41" s="726" t="str">
        <f>IF(P41="","",IF(P41='G-1 All Habitats'!$X$3,H41-S41-T41,"None"))</f>
        <v>None</v>
      </c>
      <c r="AD41" s="727" t="str">
        <f>IF(P41="","", IF(P41='G-1 All Habitats'!$X$3, AC41*J41*L41*O41,"None"))</f>
        <v>None</v>
      </c>
      <c r="AF41" s="40" t="b">
        <f t="shared" si="0"/>
        <v>1</v>
      </c>
      <c r="AG41" s="40" t="b">
        <f t="shared" si="1"/>
        <v>0</v>
      </c>
      <c r="AH41" s="40" t="e">
        <f>IF(I41="","",IF(#REF!&gt;0,TRUE,FALSE))</f>
        <v>#REF!</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t="28.5" x14ac:dyDescent="0.2">
      <c r="A42" s="35" t="str">
        <f>IFERROR(INDEX('G-1 All Habitats'!$AG$3:$AG$17,MATCH(E42,'G-1 All Habitats'!$AF$3:$AF$17,0)),"")</f>
        <v>Grassland</v>
      </c>
      <c r="B42" s="35" t="str">
        <f>IFERROR(INDEX('G-8 Condition Look up'!$I$4:$I$135,MATCH(G42,'G-8 Condition Look up'!$A$4:$A$135,0)),"")</f>
        <v>Cond4</v>
      </c>
      <c r="D42" s="287">
        <v>32</v>
      </c>
      <c r="E42" s="267" t="s">
        <v>125</v>
      </c>
      <c r="F42" s="61" t="s">
        <v>540</v>
      </c>
      <c r="G42" s="52" t="str">
        <f>IFERROR(INDEX('G-1 All Habitats'!$B$3:$B$134,MATCH(F42,'G-1 All Habitats'!$A$3:$A$134,0)),"")</f>
        <v>Grassland - Modified grassland</v>
      </c>
      <c r="H42" s="53">
        <v>2.2204697894014016</v>
      </c>
      <c r="I42" s="362" t="str">
        <f>IF(G42="","",VLOOKUP(G42,'G-1 All Habitats'!$B$2:$M$134,10,FALSE))</f>
        <v>Low</v>
      </c>
      <c r="J42" s="363">
        <f>IFERROR(VLOOKUP(I42,'G-1 All Habitats'!$V$3:$W$7,2,FALSE),"")</f>
        <v>2</v>
      </c>
      <c r="K42" s="54" t="s">
        <v>329</v>
      </c>
      <c r="L42" s="363">
        <f>IFERROR(INDEX('G-8 Condition Look up'!$A$3:$H$135,MATCH(G42,'G-8 Condition Look up'!$A$3:$A$135,0),MATCH(K42,'G-8 Condition Look up'!$A$3:$H$3,0)),"")</f>
        <v>1</v>
      </c>
      <c r="M42" s="54" t="s">
        <v>1029</v>
      </c>
      <c r="N42" s="382" t="str">
        <f>IF(M42="","",IF(VLOOKUP(M42,'G-3 Multipliers'!$L$3:$N$6,2,FALSE)=0,"Spatial Data Missing",VLOOKUP(M42,'G-3 Multipliers'!$L$3:$N$6,2,FALSE)))</f>
        <v xml:space="preserve">High strategic significance </v>
      </c>
      <c r="O42" s="368">
        <f>IF(M42="","",IF(VLOOKUP(M42,'G-3 Multipliers'!$L$3:$N$6,3,FALSE)=0,"Spatial Data Missing ▲",VLOOKUP(M42,'G-3 Multipliers'!$L$3:$N$6,3,FALSE)))</f>
        <v>1.1499999999999999</v>
      </c>
      <c r="P42" s="369" t="str">
        <f>IFERROR(VLOOKUP(G42,'G-1 All Habitats'!$B$2:$M$134,12,FALSE),"")</f>
        <v>Same distinctiveness or better habitat required ≥</v>
      </c>
      <c r="Q42" s="376">
        <f>IFERROR(IF(P42="","",IF(AND(P42='G-1 All Habitats'!$X$3,T42&gt;0),U42+V42,IF(AND(P42='G-1 All Habitats'!$X$3,S42&gt;0),U42+V42,IF(AND(P42='G-1 All Habitats'!$X$3,AC42&gt;0),"Any Loss Unacceptable ⚠",IF(AND(P42='G-1 All Habitats'!$X$3,W42&gt;0),"Any Loss Unacceptable ⚠",H42*J42*L42*O42))))),"Check Data ▲")</f>
        <v>5.1070805156232231</v>
      </c>
      <c r="R42" s="38"/>
      <c r="S42" s="54">
        <v>0</v>
      </c>
      <c r="T42" s="55">
        <v>2.2204697894014016</v>
      </c>
      <c r="U42" s="374">
        <f t="shared" si="3"/>
        <v>0</v>
      </c>
      <c r="V42" s="374">
        <f t="shared" si="4"/>
        <v>5.1070805156232231</v>
      </c>
      <c r="W42" s="374">
        <f>IF(E42="","",IF(H42&lt;S42+T42,"Error in Areas ▲",IF(P42&lt;&gt;'G-1 All Habitats'!$X$3,H42-S42-T42,IF(AND(P42='G-1 All Habitats'!$X$3,Y42="Yes"),"Unacceptable Loss ⚠",IF(AND(P42='G-1 All Habitats'!$X$3,Y42="No"),AC42,IF(AND(P42='G-1 All Habitats'!$X$3,Y42=""),AC42,IF(AND(P42='G-1 All Habitats'!$X$3,AC42="None",AC42),IF(AND(P42='G-1 All Habitats'!$X$3,AC42&gt;0),H42-S42-T42))))))))</f>
        <v>0</v>
      </c>
      <c r="X42" s="378">
        <f>IFERROR(IF(H42="","",IF(H42-S42-T42=0&lt;0,"Error in Areas ▲",IF(S42+T42&gt;H42,"Error in Areas ▲",IF(AND(P42='G-1 All Habitats'!$X$3,Y42="Yes"),"Alternative Compensation ✓",IF(W42=0,0,IF(P42='G-1 All Habitats'!$X$3,"Any Loss Unacceptable ▲",Q42-U42-V42)))))),"Check Data ▲")</f>
        <v>0</v>
      </c>
      <c r="Y42" s="55"/>
      <c r="Z42" s="62" t="s">
        <v>1684</v>
      </c>
      <c r="AA42" s="526"/>
      <c r="AB42" s="120"/>
      <c r="AC42" s="726" t="str">
        <f>IF(P42="","",IF(P42='G-1 All Habitats'!$X$3,H42-S42-T42,"None"))</f>
        <v>None</v>
      </c>
      <c r="AD42" s="727" t="str">
        <f>IF(P42="","", IF(P42='G-1 All Habitats'!$X$3, AC42*J42*L42*O42,"None"))</f>
        <v>None</v>
      </c>
      <c r="AF42" s="40" t="b">
        <f t="shared" si="0"/>
        <v>0</v>
      </c>
      <c r="AG42" s="40" t="b">
        <f t="shared" si="1"/>
        <v>1</v>
      </c>
      <c r="AH42" s="40" t="e">
        <f>IF(I42="","",IF(#REF!&gt;0,TRUE,FALSE))</f>
        <v>#REF!</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t="28.5" x14ac:dyDescent="0.2">
      <c r="A43" s="35" t="str">
        <f>IFERROR(INDEX('G-1 All Habitats'!$AG$3:$AG$17,MATCH(E43,'G-1 All Habitats'!$AF$3:$AF$17,0)),"")</f>
        <v>Grassland</v>
      </c>
      <c r="B43" s="35" t="str">
        <f>IFERROR(INDEX('G-8 Condition Look up'!$I$4:$I$135,MATCH(G43,'G-8 Condition Look up'!$A$4:$A$135,0)),"")</f>
        <v>Cond4</v>
      </c>
      <c r="D43" s="287">
        <v>33</v>
      </c>
      <c r="E43" s="267" t="s">
        <v>125</v>
      </c>
      <c r="F43" s="61" t="s">
        <v>540</v>
      </c>
      <c r="G43" s="52" t="str">
        <f>IFERROR(INDEX('G-1 All Habitats'!$B$3:$B$134,MATCH(F43,'G-1 All Habitats'!$A$3:$A$134,0)),"")</f>
        <v>Grassland - Modified grassland</v>
      </c>
      <c r="H43" s="53">
        <v>2.1703000027384096</v>
      </c>
      <c r="I43" s="362" t="str">
        <f>IF(G43="","",VLOOKUP(G43,'G-1 All Habitats'!$B$2:$M$134,10,FALSE))</f>
        <v>Low</v>
      </c>
      <c r="J43" s="363">
        <f>IFERROR(VLOOKUP(I43,'G-1 All Habitats'!$V$3:$W$7,2,FALSE),"")</f>
        <v>2</v>
      </c>
      <c r="K43" s="54" t="s">
        <v>329</v>
      </c>
      <c r="L43" s="363">
        <f>IFERROR(INDEX('G-8 Condition Look up'!$A$3:$H$135,MATCH(G43,'G-8 Condition Look up'!$A$3:$A$135,0),MATCH(K43,'G-8 Condition Look up'!$A$3:$H$3,0)),"")</f>
        <v>1</v>
      </c>
      <c r="M43" s="54" t="s">
        <v>1029</v>
      </c>
      <c r="N43" s="382" t="str">
        <f>IF(M43="","",IF(VLOOKUP(M43,'G-3 Multipliers'!$L$3:$N$6,2,FALSE)=0,"Spatial Data Missing",VLOOKUP(M43,'G-3 Multipliers'!$L$3:$N$6,2,FALSE)))</f>
        <v xml:space="preserve">High strategic significance </v>
      </c>
      <c r="O43" s="368">
        <f>IF(M43="","",IF(VLOOKUP(M43,'G-3 Multipliers'!$L$3:$N$6,3,FALSE)=0,"Spatial Data Missing ▲",VLOOKUP(M43,'G-3 Multipliers'!$L$3:$N$6,3,FALSE)))</f>
        <v>1.1499999999999999</v>
      </c>
      <c r="P43" s="369" t="str">
        <f>IFERROR(VLOOKUP(G43,'G-1 All Habitats'!$B$2:$M$134,12,FALSE),"")</f>
        <v>Same distinctiveness or better habitat required ≥</v>
      </c>
      <c r="Q43" s="376">
        <f>IFERROR(IF(P43="","",IF(AND(P43='G-1 All Habitats'!$X$3,T43&gt;0),U43+V43,IF(AND(P43='G-1 All Habitats'!$X$3,S43&gt;0),U43+V43,IF(AND(P43='G-1 All Habitats'!$X$3,AC43&gt;0),"Any Loss Unacceptable ⚠",IF(AND(P43='G-1 All Habitats'!$X$3,W43&gt;0),"Any Loss Unacceptable ⚠",H43*J43*L43*O43))))),"Check Data ▲")</f>
        <v>4.9916900062983416</v>
      </c>
      <c r="R43" s="38"/>
      <c r="S43" s="54">
        <v>0</v>
      </c>
      <c r="T43" s="55">
        <v>2.1703000027384096</v>
      </c>
      <c r="U43" s="374">
        <f t="shared" si="3"/>
        <v>0</v>
      </c>
      <c r="V43" s="374">
        <f t="shared" si="4"/>
        <v>4.9916900062983416</v>
      </c>
      <c r="W43" s="374">
        <f>IF(E43="","",IF(H43&lt;S43+T43,"Error in Areas ▲",IF(P43&lt;&gt;'G-1 All Habitats'!$X$3,H43-S43-T43,IF(AND(P43='G-1 All Habitats'!$X$3,Y43="Yes"),"Unacceptable Loss ⚠",IF(AND(P43='G-1 All Habitats'!$X$3,Y43="No"),AC43,IF(AND(P43='G-1 All Habitats'!$X$3,Y43=""),AC43,IF(AND(P43='G-1 All Habitats'!$X$3,AC43="None",AC43),IF(AND(P43='G-1 All Habitats'!$X$3,AC43&gt;0),H43-S43-T43))))))))</f>
        <v>0</v>
      </c>
      <c r="X43" s="378">
        <f>IFERROR(IF(H43="","",IF(H43-S43-T43=0&lt;0,"Error in Areas ▲",IF(S43+T43&gt;H43,"Error in Areas ▲",IF(AND(P43='G-1 All Habitats'!$X$3,Y43="Yes"),"Alternative Compensation ✓",IF(W43=0,0,IF(P43='G-1 All Habitats'!$X$3,"Any Loss Unacceptable ▲",Q43-U43-V43)))))),"Check Data ▲")</f>
        <v>0</v>
      </c>
      <c r="Y43" s="55"/>
      <c r="Z43" s="62" t="s">
        <v>1684</v>
      </c>
      <c r="AA43" s="526"/>
      <c r="AB43" s="120"/>
      <c r="AC43" s="726" t="str">
        <f>IF(P43="","",IF(P43='G-1 All Habitats'!$X$3,H43-S43-T43,"None"))</f>
        <v>None</v>
      </c>
      <c r="AD43" s="727" t="str">
        <f>IF(P43="","", IF(P43='G-1 All Habitats'!$X$3, AC43*J43*L43*O43,"None"))</f>
        <v>None</v>
      </c>
      <c r="AF43" s="40" t="b">
        <f t="shared" si="0"/>
        <v>0</v>
      </c>
      <c r="AG43" s="40" t="b">
        <f t="shared" si="1"/>
        <v>1</v>
      </c>
      <c r="AH43" s="40" t="e">
        <f>IF(I43="","",IF(#REF!&gt;0,TRUE,FALSE))</f>
        <v>#REF!</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t="28.5" x14ac:dyDescent="0.2">
      <c r="A44" s="35" t="str">
        <f>IFERROR(INDEX('G-1 All Habitats'!$AG$3:$AG$17,MATCH(E44,'G-1 All Habitats'!$AF$3:$AF$17,0)),"")</f>
        <v>Grassland</v>
      </c>
      <c r="B44" s="35" t="str">
        <f>IFERROR(INDEX('G-8 Condition Look up'!$I$4:$I$135,MATCH(G44,'G-8 Condition Look up'!$A$4:$A$135,0)),"")</f>
        <v>Cond4</v>
      </c>
      <c r="D44" s="287">
        <v>34</v>
      </c>
      <c r="E44" s="267" t="s">
        <v>125</v>
      </c>
      <c r="F44" s="61" t="s">
        <v>540</v>
      </c>
      <c r="G44" s="52" t="str">
        <f>IFERROR(INDEX('G-1 All Habitats'!$B$3:$B$134,MATCH(F44,'G-1 All Habitats'!$A$3:$A$134,0)),"")</f>
        <v>Grassland - Modified grassland</v>
      </c>
      <c r="H44" s="53">
        <v>1.3488785059857082</v>
      </c>
      <c r="I44" s="362" t="str">
        <f>IF(G44="","",VLOOKUP(G44,'G-1 All Habitats'!$B$2:$M$134,10,FALSE))</f>
        <v>Low</v>
      </c>
      <c r="J44" s="363">
        <f>IFERROR(VLOOKUP(I44,'G-1 All Habitats'!$V$3:$W$7,2,FALSE),"")</f>
        <v>2</v>
      </c>
      <c r="K44" s="54" t="s">
        <v>329</v>
      </c>
      <c r="L44" s="363">
        <f>IFERROR(INDEX('G-8 Condition Look up'!$A$3:$H$135,MATCH(G44,'G-8 Condition Look up'!$A$3:$A$135,0),MATCH(K44,'G-8 Condition Look up'!$A$3:$H$3,0)),"")</f>
        <v>1</v>
      </c>
      <c r="M44" s="54" t="s">
        <v>1029</v>
      </c>
      <c r="N44" s="382" t="str">
        <f>IF(M44="","",IF(VLOOKUP(M44,'G-3 Multipliers'!$L$3:$N$6,2,FALSE)=0,"Spatial Data Missing",VLOOKUP(M44,'G-3 Multipliers'!$L$3:$N$6,2,FALSE)))</f>
        <v xml:space="preserve">High strategic significance </v>
      </c>
      <c r="O44" s="368">
        <f>IF(M44="","",IF(VLOOKUP(M44,'G-3 Multipliers'!$L$3:$N$6,3,FALSE)=0,"Spatial Data Missing ▲",VLOOKUP(M44,'G-3 Multipliers'!$L$3:$N$6,3,FALSE)))</f>
        <v>1.1499999999999999</v>
      </c>
      <c r="P44" s="369" t="str">
        <f>IFERROR(VLOOKUP(G44,'G-1 All Habitats'!$B$2:$M$134,12,FALSE),"")</f>
        <v>Same distinctiveness or better habitat required ≥</v>
      </c>
      <c r="Q44" s="376">
        <f>IFERROR(IF(P44="","",IF(AND(P44='G-1 All Habitats'!$X$3,T44&gt;0),U44+V44,IF(AND(P44='G-1 All Habitats'!$X$3,S44&gt;0),U44+V44,IF(AND(P44='G-1 All Habitats'!$X$3,AC44&gt;0),"Any Loss Unacceptable ⚠",IF(AND(P44='G-1 All Habitats'!$X$3,W44&gt;0),"Any Loss Unacceptable ⚠",H44*J44*L44*O44))))),"Check Data ▲")</f>
        <v>3.1024205637671289</v>
      </c>
      <c r="R44" s="38"/>
      <c r="S44" s="54">
        <v>0</v>
      </c>
      <c r="T44" s="55">
        <v>1.3488785059857082</v>
      </c>
      <c r="U44" s="374">
        <f t="shared" si="3"/>
        <v>0</v>
      </c>
      <c r="V44" s="374">
        <f t="shared" si="4"/>
        <v>3.1024205637671289</v>
      </c>
      <c r="W44" s="374">
        <f>IF(E44="","",IF(H44&lt;S44+T44,"Error in Areas ▲",IF(P44&lt;&gt;'G-1 All Habitats'!$X$3,H44-S44-T44,IF(AND(P44='G-1 All Habitats'!$X$3,Y44="Yes"),"Unacceptable Loss ⚠",IF(AND(P44='G-1 All Habitats'!$X$3,Y44="No"),AC44,IF(AND(P44='G-1 All Habitats'!$X$3,Y44=""),AC44,IF(AND(P44='G-1 All Habitats'!$X$3,AC44="None",AC44),IF(AND(P44='G-1 All Habitats'!$X$3,AC44&gt;0),H44-S44-T44))))))))</f>
        <v>0</v>
      </c>
      <c r="X44" s="378">
        <f>IFERROR(IF(H44="","",IF(H44-S44-T44=0&lt;0,"Error in Areas ▲",IF(S44+T44&gt;H44,"Error in Areas ▲",IF(AND(P44='G-1 All Habitats'!$X$3,Y44="Yes"),"Alternative Compensation ✓",IF(W44=0,0,IF(P44='G-1 All Habitats'!$X$3,"Any Loss Unacceptable ▲",Q44-U44-V44)))))),"Check Data ▲")</f>
        <v>0</v>
      </c>
      <c r="Y44" s="55"/>
      <c r="Z44" s="62" t="s">
        <v>1684</v>
      </c>
      <c r="AA44" s="526"/>
      <c r="AB44" s="120"/>
      <c r="AC44" s="726" t="str">
        <f>IF(P44="","",IF(P44='G-1 All Habitats'!$X$3,H44-S44-T44,"None"))</f>
        <v>None</v>
      </c>
      <c r="AD44" s="727" t="str">
        <f>IF(P44="","", IF(P44='G-1 All Habitats'!$X$3, AC44*J44*L44*O44,"None"))</f>
        <v>None</v>
      </c>
      <c r="AF44" s="40" t="b">
        <f t="shared" si="0"/>
        <v>0</v>
      </c>
      <c r="AG44" s="40" t="b">
        <f t="shared" si="1"/>
        <v>1</v>
      </c>
      <c r="AH44" s="40" t="e">
        <f>IF(I44="","",IF(#REF!&gt;0,TRUE,FALSE))</f>
        <v>#REF!</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x14ac:dyDescent="0.2">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x14ac:dyDescent="0.2">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x14ac:dyDescent="0.2">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x14ac:dyDescent="0.2">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x14ac:dyDescent="0.2">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x14ac:dyDescent="0.2">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x14ac:dyDescent="0.2">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x14ac:dyDescent="0.2">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x14ac:dyDescent="0.2">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x14ac:dyDescent="0.2">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x14ac:dyDescent="0.2">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x14ac:dyDescent="0.2">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x14ac:dyDescent="0.2">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x14ac:dyDescent="0.2">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x14ac:dyDescent="0.2">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x14ac:dyDescent="0.2">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x14ac:dyDescent="0.2">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x14ac:dyDescent="0.2">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x14ac:dyDescent="0.2">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x14ac:dyDescent="0.2">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x14ac:dyDescent="0.2">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x14ac:dyDescent="0.2">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x14ac:dyDescent="0.2">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x14ac:dyDescent="0.2">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x14ac:dyDescent="0.2">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x14ac:dyDescent="0.2">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x14ac:dyDescent="0.2">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x14ac:dyDescent="0.2">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x14ac:dyDescent="0.2">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x14ac:dyDescent="0.2">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x14ac:dyDescent="0.2">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x14ac:dyDescent="0.2">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x14ac:dyDescent="0.2">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x14ac:dyDescent="0.2">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x14ac:dyDescent="0.2">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x14ac:dyDescent="0.2">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x14ac:dyDescent="0.2">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x14ac:dyDescent="0.2">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x14ac:dyDescent="0.2">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x14ac:dyDescent="0.2">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x14ac:dyDescent="0.2">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x14ac:dyDescent="0.2">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x14ac:dyDescent="0.2">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x14ac:dyDescent="0.2">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x14ac:dyDescent="0.2">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x14ac:dyDescent="0.2">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x14ac:dyDescent="0.2">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x14ac:dyDescent="0.2">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x14ac:dyDescent="0.2">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x14ac:dyDescent="0.2">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x14ac:dyDescent="0.2">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x14ac:dyDescent="0.2">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x14ac:dyDescent="0.2">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x14ac:dyDescent="0.2">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x14ac:dyDescent="0.2">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x14ac:dyDescent="0.2">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x14ac:dyDescent="0.2">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x14ac:dyDescent="0.2">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x14ac:dyDescent="0.2">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x14ac:dyDescent="0.2">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x14ac:dyDescent="0.2">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x14ac:dyDescent="0.2">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x14ac:dyDescent="0.2">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x14ac:dyDescent="0.2">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x14ac:dyDescent="0.2">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x14ac:dyDescent="0.2">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x14ac:dyDescent="0.2">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x14ac:dyDescent="0.2">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x14ac:dyDescent="0.2">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x14ac:dyDescent="0.2">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x14ac:dyDescent="0.2">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x14ac:dyDescent="0.2">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x14ac:dyDescent="0.2">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x14ac:dyDescent="0.2">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x14ac:dyDescent="0.2">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x14ac:dyDescent="0.2">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x14ac:dyDescent="0.2">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x14ac:dyDescent="0.2">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x14ac:dyDescent="0.2">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x14ac:dyDescent="0.2">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x14ac:dyDescent="0.2">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x14ac:dyDescent="0.2">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x14ac:dyDescent="0.2">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x14ac:dyDescent="0.2">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x14ac:dyDescent="0.2">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x14ac:dyDescent="0.2">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x14ac:dyDescent="0.2">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x14ac:dyDescent="0.2">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x14ac:dyDescent="0.2">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x14ac:dyDescent="0.2">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x14ac:dyDescent="0.2">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x14ac:dyDescent="0.2">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x14ac:dyDescent="0.2">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x14ac:dyDescent="0.2">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x14ac:dyDescent="0.2">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x14ac:dyDescent="0.2">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x14ac:dyDescent="0.2">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x14ac:dyDescent="0.2">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x14ac:dyDescent="0.2">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x14ac:dyDescent="0.2">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x14ac:dyDescent="0.2">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x14ac:dyDescent="0.2">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x14ac:dyDescent="0.2">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x14ac:dyDescent="0.2">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x14ac:dyDescent="0.2">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x14ac:dyDescent="0.2">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x14ac:dyDescent="0.2">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x14ac:dyDescent="0.2">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x14ac:dyDescent="0.2">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x14ac:dyDescent="0.2">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x14ac:dyDescent="0.2">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x14ac:dyDescent="0.2">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x14ac:dyDescent="0.2">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x14ac:dyDescent="0.2">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x14ac:dyDescent="0.2">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x14ac:dyDescent="0.2">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x14ac:dyDescent="0.2">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x14ac:dyDescent="0.2">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x14ac:dyDescent="0.2">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x14ac:dyDescent="0.2">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x14ac:dyDescent="0.2">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x14ac:dyDescent="0.2">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x14ac:dyDescent="0.2">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x14ac:dyDescent="0.2">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x14ac:dyDescent="0.2">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x14ac:dyDescent="0.2">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x14ac:dyDescent="0.2">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x14ac:dyDescent="0.2">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x14ac:dyDescent="0.2">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x14ac:dyDescent="0.2">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x14ac:dyDescent="0.2">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x14ac:dyDescent="0.2">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x14ac:dyDescent="0.2">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x14ac:dyDescent="0.2">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x14ac:dyDescent="0.2">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x14ac:dyDescent="0.2">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x14ac:dyDescent="0.2">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x14ac:dyDescent="0.2">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x14ac:dyDescent="0.2">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x14ac:dyDescent="0.2">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x14ac:dyDescent="0.2">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x14ac:dyDescent="0.2">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x14ac:dyDescent="0.2">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x14ac:dyDescent="0.2">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x14ac:dyDescent="0.2">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x14ac:dyDescent="0.2">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x14ac:dyDescent="0.2">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x14ac:dyDescent="0.2">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x14ac:dyDescent="0.2">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x14ac:dyDescent="0.2">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x14ac:dyDescent="0.2">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x14ac:dyDescent="0.2">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x14ac:dyDescent="0.2">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x14ac:dyDescent="0.2">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x14ac:dyDescent="0.2">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x14ac:dyDescent="0.2">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x14ac:dyDescent="0.2">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x14ac:dyDescent="0.2">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x14ac:dyDescent="0.2">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x14ac:dyDescent="0.2">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x14ac:dyDescent="0.2">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x14ac:dyDescent="0.2">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x14ac:dyDescent="0.2">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x14ac:dyDescent="0.2">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x14ac:dyDescent="0.2">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x14ac:dyDescent="0.2">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x14ac:dyDescent="0.2">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x14ac:dyDescent="0.2">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x14ac:dyDescent="0.2">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x14ac:dyDescent="0.2">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x14ac:dyDescent="0.2">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x14ac:dyDescent="0.2">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x14ac:dyDescent="0.2">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x14ac:dyDescent="0.2">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x14ac:dyDescent="0.2">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x14ac:dyDescent="0.2">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x14ac:dyDescent="0.2">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x14ac:dyDescent="0.2">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x14ac:dyDescent="0.2">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x14ac:dyDescent="0.2">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x14ac:dyDescent="0.2">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x14ac:dyDescent="0.2">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x14ac:dyDescent="0.2">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x14ac:dyDescent="0.2">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x14ac:dyDescent="0.2">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x14ac:dyDescent="0.2">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x14ac:dyDescent="0.2">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x14ac:dyDescent="0.2">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x14ac:dyDescent="0.2">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x14ac:dyDescent="0.2">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x14ac:dyDescent="0.2">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x14ac:dyDescent="0.2">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x14ac:dyDescent="0.2">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x14ac:dyDescent="0.2">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x14ac:dyDescent="0.2">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x14ac:dyDescent="0.2">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x14ac:dyDescent="0.2">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x14ac:dyDescent="0.2">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x14ac:dyDescent="0.2">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x14ac:dyDescent="0.2">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x14ac:dyDescent="0.2">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x14ac:dyDescent="0.2">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x14ac:dyDescent="0.2">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x14ac:dyDescent="0.2">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x14ac:dyDescent="0.2">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x14ac:dyDescent="0.2">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x14ac:dyDescent="0.2">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x14ac:dyDescent="0.2">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x14ac:dyDescent="0.2">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x14ac:dyDescent="0.2">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x14ac:dyDescent="0.2">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x14ac:dyDescent="0.2">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x14ac:dyDescent="0.2">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 thickBot="1" x14ac:dyDescent="0.25">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 thickBot="1" x14ac:dyDescent="0.25">
      <c r="F259" s="784" t="s">
        <v>305</v>
      </c>
      <c r="H259" s="785">
        <f>IF('Detailed Results'!K40&gt;0,"Error ▲", SUM(H11:H258))</f>
        <v>1210.9323299682765</v>
      </c>
      <c r="N259" s="38"/>
      <c r="P259" s="786"/>
      <c r="Q259" s="403">
        <f>IF('Detailed Results'!K40&gt;0,"Error ▲",SUM(Q11:Q258))</f>
        <v>2558.0790644828426</v>
      </c>
      <c r="R259" s="65"/>
      <c r="S259" s="800">
        <f>IF('Detailed Results'!$K$40&gt;0,"Error ▲",SUM(S11:S258))</f>
        <v>17.683396528091812</v>
      </c>
      <c r="T259" s="343">
        <f>IF('Detailed Results'!$K$40&gt;0,"Error ▲",SUM(T11:T258))</f>
        <v>21.031845810189665</v>
      </c>
      <c r="U259" s="343" cm="1">
        <f t="array" ref="U259">IF(OR('Detailed Results'!$K$40&gt;0,W11:W258="Error in Areas ▲"),"Error ▲",SUM(U11:U258))</f>
        <v>95.668309074471466</v>
      </c>
      <c r="V259" s="343" cm="1">
        <f t="array" ref="V259">IF(OR('Detailed Results'!$K$40&gt;0, W11:W258="Error in Areas ▲"),"Error ▲",SUM(V11:V258))</f>
        <v>44.008448238455706</v>
      </c>
      <c r="W259" s="343">
        <f>IF('Detailed Results'!$K$40&gt;0,"Error ▲",SUM(W11:W258))</f>
        <v>1172.2170876299949</v>
      </c>
      <c r="X259" s="403">
        <f>IF('Detailed Results'!$K$40&gt;0,"Error ▲",SUM(X11:X258))</f>
        <v>2418.4023071699153</v>
      </c>
      <c r="AQ259" s="41">
        <f>SUM(AQ11:AQ258)</f>
        <v>0</v>
      </c>
    </row>
    <row r="260" spans="1:43" ht="28.5" customHeight="1" thickBot="1" x14ac:dyDescent="0.25">
      <c r="F260" s="729" t="s">
        <v>306</v>
      </c>
      <c r="G260" s="564"/>
      <c r="H260" s="381">
        <f>IF('Detailed Results'!$K$40&gt;0,"Error ▲",SUMIFS($H$11:$H$256,$G$11:$G$256,"&lt;&gt;"&amp;'G-1 All Habitats'!B80,$G$11:$G$256,"&lt;&gt;"&amp;'G-1 All Habitats'!B81,$G$11:$G$256,"&lt;&gt;"&amp;'G-1 All Habitats'!B67,$G$11:$G$256,"&lt;&gt;"&amp;'G-1 All Habitats'!B68))</f>
        <v>1210.9323299682765</v>
      </c>
      <c r="P260" s="38"/>
      <c r="Y260" s="66"/>
    </row>
    <row r="261" spans="1:43" ht="33.950000000000003" customHeight="1" thickBot="1" x14ac:dyDescent="0.25">
      <c r="D261" s="38"/>
      <c r="E261" s="38"/>
      <c r="F261" s="66"/>
      <c r="H261" s="65"/>
      <c r="S261" s="1421" t="s">
        <v>307</v>
      </c>
      <c r="T261" s="1422"/>
      <c r="U261" s="1422"/>
      <c r="V261" s="1423"/>
      <c r="W261" s="366">
        <f>IF('Detailed Results'!$K$40&gt;0,"Error ▲",SUMIFS($W$11:$W$258,$G$11:$G$258,"&lt;&gt;"&amp;'G-1 All Habitats'!B67,$G$11:$G$258,"&lt;&gt;"&amp;'G-1 All Habitats'!B68,$G$11:$G$258,"&lt;&gt;"&amp;'G-1 All Habitats'!B80, $G$11:$G$258,"&lt;&gt;"&amp;'G-1 All Habitats'!B81))</f>
        <v>1172.2170876299949</v>
      </c>
    </row>
    <row r="262" spans="1:43" x14ac:dyDescent="0.2">
      <c r="D262" s="38"/>
      <c r="E262" s="38"/>
    </row>
    <row r="263" spans="1:43" ht="15" thickBot="1" x14ac:dyDescent="0.25">
      <c r="D263" s="38"/>
      <c r="E263" s="38"/>
      <c r="F263" s="38"/>
      <c r="G263" s="36"/>
      <c r="H263" s="38"/>
      <c r="I263" s="38"/>
      <c r="J263" s="38"/>
      <c r="K263" s="38"/>
      <c r="L263" s="38"/>
      <c r="M263" s="38"/>
      <c r="N263" s="38"/>
      <c r="O263" s="38"/>
    </row>
    <row r="264" spans="1:43" ht="29.25" thickBot="1" x14ac:dyDescent="0.25">
      <c r="D264" s="38"/>
      <c r="E264" s="38"/>
      <c r="F264" s="1414" t="s">
        <v>308</v>
      </c>
      <c r="G264" s="36"/>
      <c r="H264" s="730" t="s">
        <v>309</v>
      </c>
      <c r="I264" s="734" t="s">
        <v>310</v>
      </c>
      <c r="J264" s="1416" t="s">
        <v>311</v>
      </c>
      <c r="K264" s="1417"/>
      <c r="L264" s="38"/>
      <c r="M264" s="38"/>
      <c r="N264" s="38"/>
      <c r="O264" s="38"/>
    </row>
    <row r="265" spans="1:43" ht="15" customHeight="1" thickBot="1" x14ac:dyDescent="0.25">
      <c r="D265" s="38"/>
      <c r="E265" s="38"/>
      <c r="F265" s="1415"/>
      <c r="G265" s="36"/>
      <c r="H265" s="730"/>
      <c r="I265" s="373" t="str">
        <f>IF(H264="Hectares",H265,IF(H264="M²",H265/10000,""))</f>
        <v/>
      </c>
      <c r="J265" s="1418" t="str">
        <f>IF(H264="M²",H265,IF(H264="Hectares",H265*10000,""))</f>
        <v/>
      </c>
      <c r="K265" s="1419"/>
      <c r="L265" s="38"/>
      <c r="M265" s="38"/>
      <c r="N265" s="38"/>
      <c r="O265" s="38"/>
    </row>
    <row r="275" x14ac:dyDescent="0.2"/>
  </sheetData>
  <sheetProtection algorithmName="SHA-512" hashValue="pKOrAhR0w/w+fAz6LxiXR7SB1pL0ScEpDT7Au7RHfAheucoL2A+1UpkZl8z8Tft2TF7z3vF4hexT2CD2XE1FPA==" saltValue="+nzXp57uwt5L8hzqrGMp1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H259:H260">
    <cfRule type="containsText" dxfId="535" priority="1" operator="containsText" text="▲">
      <formula>NOT(ISERROR(SEARCH("▲",H259)))</formula>
    </cfRule>
  </conditionalFormatting>
  <conditionalFormatting sqref="I6:M8">
    <cfRule type="containsText" dxfId="534" priority="7" operator="containsText" text="⚠">
      <formula>NOT(ISERROR(SEARCH("⚠",I6)))</formula>
    </cfRule>
  </conditionalFormatting>
  <conditionalFormatting sqref="L3">
    <cfRule type="containsText" dxfId="533" priority="23" operator="containsText" text="Error">
      <formula>NOT(ISERROR(SEARCH("Error",L3)))</formula>
    </cfRule>
    <cfRule type="containsText" dxfId="532" priority="24" operator="containsText" text="Check">
      <formula>NOT(ISERROR(SEARCH("Check",L3)))</formula>
    </cfRule>
  </conditionalFormatting>
  <conditionalFormatting sqref="L4">
    <cfRule type="cellIs" dxfId="530" priority="6" operator="equal">
      <formula>0</formula>
    </cfRule>
    <cfRule type="containsText" dxfId="528" priority="11" operator="containsText" text="Check">
      <formula>NOT(ISERROR(SEARCH("Check",L4)))</formula>
    </cfRule>
    <cfRule type="containsText" dxfId="527" priority="12" operator="containsText" text="Error">
      <formula>NOT(ISERROR(SEARCH("Error",L4)))</formula>
    </cfRule>
  </conditionalFormatting>
  <conditionalFormatting sqref="L5">
    <cfRule type="containsText" dxfId="526" priority="17" operator="containsText" text="No">
      <formula>NOT(ISERROR(SEARCH("No",L5)))</formula>
    </cfRule>
    <cfRule type="containsText" dxfId="525" priority="18" operator="containsText" text="Yes">
      <formula>NOT(ISERROR(SEARCH("Yes",L5)))</formula>
    </cfRule>
  </conditionalFormatting>
  <conditionalFormatting sqref="L11:L258">
    <cfRule type="cellIs" dxfId="524" priority="137" operator="equal">
      <formula>"Not Possible"</formula>
    </cfRule>
  </conditionalFormatting>
  <conditionalFormatting sqref="L4:M4">
    <cfRule type="cellIs" dxfId="523" priority="13" operator="lessThan">
      <formula>0</formula>
    </cfRule>
  </conditionalFormatting>
  <conditionalFormatting sqref="Q2">
    <cfRule type="containsText" dxfId="518" priority="10" operator="containsText" text="Check">
      <formula>NOT(ISERROR(SEARCH("Check",Q2)))</formula>
    </cfRule>
  </conditionalFormatting>
  <conditionalFormatting sqref="Q11:Q258">
    <cfRule type="expression" dxfId="517" priority="72">
      <formula>"p18=""Avoid"""</formula>
    </cfRule>
    <cfRule type="cellIs" dxfId="516" priority="66" operator="equal">
      <formula>"Check Data ▲"</formula>
    </cfRule>
    <cfRule type="cellIs" dxfId="515" priority="70" operator="equal">
      <formula>"Any loss Unacceptable ⚠"</formula>
    </cfRule>
    <cfRule type="cellIs" dxfId="514" priority="73" operator="equal">
      <formula>"Any loss Unacceptable ⚠"</formula>
    </cfRule>
    <cfRule type="expression" dxfId="513" priority="75">
      <formula>"p18=""Avoid"""</formula>
    </cfRule>
  </conditionalFormatting>
  <conditionalFormatting sqref="Q12:Q258">
    <cfRule type="cellIs" dxfId="512" priority="67" operator="equal">
      <formula>"Any loss Unacceptable ▲"</formula>
    </cfRule>
    <cfRule type="expression" dxfId="511" priority="69">
      <formula>"p18=""Avoid"""</formula>
    </cfRule>
  </conditionalFormatting>
  <conditionalFormatting sqref="Q259:T259">
    <cfRule type="containsText" dxfId="510" priority="3" operator="containsText" text="Error">
      <formula>NOT(ISERROR(SEARCH("Error",Q259)))</formula>
    </cfRule>
  </conditionalFormatting>
  <conditionalFormatting sqref="U259:V259">
    <cfRule type="containsText" dxfId="509" priority="8" operator="containsText" text="Error">
      <formula>NOT(ISERROR(SEARCH("Error",U259)))</formula>
    </cfRule>
  </conditionalFormatting>
  <conditionalFormatting sqref="W11:W258">
    <cfRule type="cellIs" dxfId="508" priority="28" operator="equal">
      <formula>"Error in Areas ▲"</formula>
    </cfRule>
    <cfRule type="cellIs" dxfId="507" priority="95" operator="equal">
      <formula>"Unacceptable Loss ▲"</formula>
    </cfRule>
    <cfRule type="cellIs" dxfId="506" priority="29"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505" priority="35" operator="equal">
      <formula>"Error in Areas"</formula>
    </cfRule>
    <cfRule type="cellIs" dxfId="504" priority="36" operator="equal">
      <formula>"Unacceptable Loss"</formula>
    </cfRule>
  </conditionalFormatting>
  <conditionalFormatting sqref="W261">
    <cfRule type="containsText" dxfId="503" priority="2" operator="containsText" text="▲">
      <formula>NOT(ISERROR(SEARCH("▲",W261)))</formula>
    </cfRule>
  </conditionalFormatting>
  <conditionalFormatting sqref="W11:X258">
    <cfRule type="cellIs" dxfId="502" priority="50" operator="equal">
      <formula>"Error in Areas ▲"</formula>
    </cfRule>
  </conditionalFormatting>
  <conditionalFormatting sqref="W259:X259">
    <cfRule type="containsText" dxfId="501" priority="4" operator="containsText" text="▲">
      <formula>NOT(ISERROR(SEARCH("▲",W259)))</formula>
    </cfRule>
  </conditionalFormatting>
  <conditionalFormatting sqref="X11:X258">
    <cfRule type="containsText" dxfId="500" priority="9" operator="containsText" text="✓">
      <formula>NOT(ISERROR(SEARCH("✓",X11)))</formula>
    </cfRule>
    <cfRule type="containsText" dxfId="499" priority="51" operator="containsText" text="Unacceptable">
      <formula>NOT(ISERROR(SEARCH("Unacceptable",X11)))</formula>
    </cfRule>
    <cfRule type="containsText" dxfId="498" priority="39" operator="containsText" text="Check">
      <formula>NOT(ISERROR(SEARCH("Check",X11)))</formula>
    </cfRule>
  </conditionalFormatting>
  <conditionalFormatting sqref="Y11:Y258">
    <cfRule type="cellIs" dxfId="497" priority="133" operator="equal">
      <formula>"No"</formula>
    </cfRule>
    <cfRule type="cellIs" dxfId="496" priority="134" operator="equal">
      <formula>"Yes"</formula>
    </cfRule>
  </conditionalFormatting>
  <conditionalFormatting sqref="AC11:AC258">
    <cfRule type="cellIs" dxfId="495" priority="145" operator="equal">
      <formula>0</formula>
    </cfRule>
  </conditionalFormatting>
  <conditionalFormatting sqref="AC11:AD258">
    <cfRule type="cellIs" dxfId="494" priority="148" operator="equal">
      <formula>"None"</formula>
    </cfRule>
    <cfRule type="cellIs" dxfId="493" priority="151" operator="equal">
      <formula>""</formula>
    </cfRule>
    <cfRule type="cellIs" dxfId="492" priority="154" operator="greaterThan">
      <formula>0</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6" operator="greaterThanOrEqual" id="{F95202D6-4765-40D2-A5FC-CA0B91DFE22A}">
            <xm:f>Start!$F$22</xm:f>
            <x14:dxf>
              <font>
                <color rgb="FF383745"/>
              </font>
              <fill>
                <patternFill>
                  <bgColor rgb="FF92D050"/>
                </patternFill>
              </fill>
            </x14:dxf>
          </x14:cfRule>
          <x14:cfRule type="cellIs" priority="425" operator="lessThan" id="{593D0BA2-2099-43F5-91C6-6C5B4FA9AD26}">
            <xm:f>Start!$F$22</xm:f>
            <x14:dxf>
              <font>
                <color rgb="FF383745"/>
              </font>
              <fill>
                <patternFill>
                  <bgColor rgb="FFFFC000"/>
                </patternFill>
              </fill>
            </x14:dxf>
          </x14:cfRule>
          <xm:sqref>L4</xm:sqref>
        </x14:conditionalFormatting>
        <x14:conditionalFormatting xmlns:xm="http://schemas.microsoft.com/office/excel/2006/main">
          <x14:cfRule type="cellIs" priority="142" operator="equal" id="{78251F4B-D9B8-491B-A3CB-C3E31CF4FAF9}">
            <xm:f>'G-1 All Habitats'!$X$6</xm:f>
            <x14:dxf>
              <font>
                <color rgb="FF383745"/>
              </font>
              <fill>
                <patternFill>
                  <fgColor auto="1"/>
                  <bgColor theme="8" tint="0.59996337778862885"/>
                </patternFill>
              </fill>
            </x14:dxf>
          </x14:cfRule>
          <x14:cfRule type="cellIs" priority="245" operator="equal" id="{CE433DA3-276C-48D8-8968-BAC21DBC1720}">
            <xm:f>'G-1 All Habitats'!$X$5</xm:f>
            <x14:dxf>
              <font>
                <color rgb="FF383745"/>
              </font>
              <fill>
                <patternFill>
                  <bgColor theme="8" tint="-0.24994659260841701"/>
                </patternFill>
              </fill>
            </x14:dxf>
          </x14:cfRule>
          <x14:cfRule type="cellIs" priority="246" operator="equal" id="{FAF3837B-61C2-4812-84DC-4861E4B549AE}">
            <xm:f>'G-1 All Habitats'!$X$4</xm:f>
            <x14:dxf>
              <font>
                <color rgb="FF383745"/>
              </font>
              <fill>
                <patternFill>
                  <bgColor theme="6"/>
                </patternFill>
              </fill>
            </x14:dxf>
          </x14:cfRule>
          <x14:cfRule type="cellIs" priority="247" operator="equal" id="{2A68A61E-692A-4682-9F37-0417491DB7B1}">
            <xm:f>'G-1 All Habitats'!$X$3</xm:f>
            <x14:dxf>
              <font>
                <color rgb="FF000000"/>
              </font>
              <fill>
                <patternFill>
                  <bgColor theme="6" tint="-0.24994659260841701"/>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D1" zoomScale="70" zoomScaleNormal="70" workbookViewId="0">
      <pane ySplit="10" topLeftCell="A11" activePane="bottomLeft" state="frozen"/>
      <selection pane="bottomLeft" activeCell="G17" sqref="G17"/>
    </sheetView>
  </sheetViews>
  <sheetFormatPr defaultColWidth="0" defaultRowHeight="14.25" zeroHeight="1" x14ac:dyDescent="0.2"/>
  <cols>
    <col min="1" max="1" width="19.85546875" style="35" hidden="1" customWidth="1"/>
    <col min="2" max="2" width="10.85546875" style="35" hidden="1" customWidth="1"/>
    <col min="3" max="3" width="5.5703125" style="35" hidden="1" customWidth="1"/>
    <col min="4" max="4" width="27.140625" style="35" customWidth="1"/>
    <col min="5" max="5" width="75" style="37" customWidth="1"/>
    <col min="6" max="6" width="24.42578125" style="35" hidden="1" customWidth="1"/>
    <col min="7" max="7" width="14.85546875" style="35" customWidth="1"/>
    <col min="8" max="8" width="18" style="35" customWidth="1"/>
    <col min="9" max="9" width="14.140625" style="35" customWidth="1"/>
    <col min="10" max="11" width="12.5703125" style="35" customWidth="1"/>
    <col min="12" max="12" width="42.28515625" style="35" customWidth="1"/>
    <col min="13" max="13" width="19.5703125" style="35" customWidth="1"/>
    <col min="14" max="14" width="13.140625" style="35" customWidth="1"/>
    <col min="15" max="15" width="18" style="35" customWidth="1"/>
    <col min="16" max="16" width="17.85546875" style="35" customWidth="1"/>
    <col min="17"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140625" style="35" customWidth="1"/>
    <col min="24" max="24" width="14.28515625" style="35" customWidth="1"/>
    <col min="25" max="25" width="12.7109375" style="35" customWidth="1"/>
    <col min="26" max="26" width="39.7109375" style="35" customWidth="1"/>
    <col min="27" max="27" width="43.140625" style="35" customWidth="1"/>
    <col min="28" max="28" width="16.42578125" style="35" customWidth="1"/>
    <col min="29" max="29" width="12" style="35" customWidth="1"/>
    <col min="30" max="30" width="8.85546875" style="35" hidden="1" customWidth="1"/>
    <col min="31" max="31" width="10.85546875" style="35" hidden="1" customWidth="1"/>
    <col min="32" max="32" width="11.85546875" style="35" hidden="1" customWidth="1"/>
    <col min="33" max="16383" width="8.85546875" style="35" hidden="1" customWidth="1"/>
    <col min="16384" max="16384" width="1.85546875" style="35" hidden="1" customWidth="1"/>
  </cols>
  <sheetData>
    <row r="1" spans="1:34" ht="15" thickBot="1" x14ac:dyDescent="0.25"/>
    <row r="2" spans="1:34" ht="18.75" customHeight="1" thickBot="1" x14ac:dyDescent="0.3">
      <c r="D2" s="1445" t="str">
        <f>CONCATENATE("Project Name:", " ", Start!F12, "     ", "Map Reference:", " ", Start!K55)</f>
        <v xml:space="preserve">Project Name: Botley West Solar Farm     Map Reference: </v>
      </c>
      <c r="E2" s="1446"/>
      <c r="G2" s="894">
        <v>0.01</v>
      </c>
      <c r="H2" s="1401" t="s">
        <v>263</v>
      </c>
      <c r="I2" s="1402"/>
      <c r="J2" s="1402"/>
      <c r="K2" s="1402"/>
      <c r="L2" s="1403"/>
      <c r="N2" s="1460" t="str">
        <f>IF(OR(COUNTIF($O$11:O256,"*30+*")&gt;0,COUNTIF($S$11:S256,"*30+*")&gt;0),"Note; Habitat selected has a time to target condition greater than 30 years. Non standard agreement may be required.","")</f>
        <v/>
      </c>
      <c r="O2" s="1460"/>
      <c r="P2" s="1460"/>
      <c r="Q2" s="1460"/>
      <c r="R2" s="1460"/>
      <c r="S2" s="1464" t="str" cm="1">
        <f t="array" ref="S2">IF(OR(J11:J256 = "Fairly Good", J11:J256 = "Fairly Poor"),"A 'Fairly' Category has been used - check evidence to ensure this is appropriate ⚠", "")</f>
        <v/>
      </c>
      <c r="T2" s="1464"/>
      <c r="U2" s="1464"/>
      <c r="V2" s="1464"/>
      <c r="W2" s="1464"/>
      <c r="X2" s="1464"/>
    </row>
    <row r="3" spans="1:34" ht="24" customHeight="1" thickBot="1" x14ac:dyDescent="0.25">
      <c r="D3" s="1447" t="str">
        <f ca="1">MID(CELL("filename",D1),FIND("]",CELL("filename",D1))+1,256)</f>
        <v>A-2 On-Site Habitat Creation</v>
      </c>
      <c r="E3" s="1448"/>
      <c r="H3" s="1465" t="s">
        <v>264</v>
      </c>
      <c r="I3" s="1466"/>
      <c r="J3" s="1467"/>
      <c r="K3" s="1468">
        <f ca="1">'Headline Results'!H47</f>
        <v>2079.2936185042022</v>
      </c>
      <c r="L3" s="1469"/>
      <c r="N3" s="1460"/>
      <c r="O3" s="1460"/>
      <c r="P3" s="1460"/>
      <c r="Q3" s="1460"/>
      <c r="R3" s="1460"/>
      <c r="S3" s="1464"/>
      <c r="T3" s="1464"/>
      <c r="U3" s="1464"/>
      <c r="V3" s="1464"/>
      <c r="W3" s="1464"/>
      <c r="X3" s="1464"/>
    </row>
    <row r="4" spans="1:34" ht="12.6" customHeight="1" x14ac:dyDescent="0.2">
      <c r="H4" s="1470" t="s">
        <v>266</v>
      </c>
      <c r="I4" s="1471"/>
      <c r="J4" s="1472"/>
      <c r="K4" s="1473">
        <f ca="1">'Headline Results'!H51</f>
        <v>0.81283399226151964</v>
      </c>
      <c r="L4" s="1474"/>
      <c r="N4" s="1461"/>
      <c r="O4" s="1461"/>
      <c r="P4" s="1461"/>
      <c r="Q4" s="1461"/>
      <c r="R4" s="1461"/>
      <c r="S4" s="1464"/>
      <c r="T4" s="1464"/>
      <c r="U4" s="1464"/>
      <c r="V4" s="1464"/>
      <c r="W4" s="1464"/>
      <c r="X4" s="1464"/>
    </row>
    <row r="5" spans="1:34" ht="15.6" customHeight="1" x14ac:dyDescent="0.25">
      <c r="H5" s="1470" t="s">
        <v>268</v>
      </c>
      <c r="I5" s="1471"/>
      <c r="J5" s="1472"/>
      <c r="K5" s="1475" t="str" cm="1">
        <f t="array" aca="1" ref="K5" ca="1">IF(OR('Trading Summary Area Habitats'!G5:G8="No ▲"), "No - check trading summaries ▲", "Yes ✓")</f>
        <v>Yes ✓</v>
      </c>
      <c r="L5" s="1476"/>
      <c r="M5" s="199"/>
      <c r="N5" s="1461"/>
      <c r="O5" s="1461"/>
      <c r="P5" s="1461"/>
      <c r="Q5" s="1461"/>
      <c r="R5" s="1461"/>
      <c r="S5" s="1464"/>
      <c r="T5" s="1464"/>
      <c r="U5" s="1464"/>
      <c r="V5" s="1464"/>
      <c r="W5" s="1464"/>
      <c r="X5" s="1464"/>
    </row>
    <row r="6" spans="1:34" ht="36" customHeight="1" thickBot="1" x14ac:dyDescent="0.25">
      <c r="H6" s="1479" t="s">
        <v>1678</v>
      </c>
      <c r="I6" s="1480"/>
      <c r="J6" s="1481"/>
      <c r="K6" s="1477" t="str">
        <f>IF(ABS('A-1 On-Site Habitat Baseline'!W261 - G259)&lt;=G2,  "Area Acceptable 🗸", "Error - Area created does not equal area lost ▲")</f>
        <v>Error - Area created does not equal area lost ▲</v>
      </c>
      <c r="L6" s="1478"/>
      <c r="N6" s="1461"/>
      <c r="O6" s="1461"/>
      <c r="P6" s="1461"/>
      <c r="Q6" s="1461"/>
      <c r="R6" s="1461"/>
    </row>
    <row r="7" spans="1:34" ht="39" customHeight="1" thickBot="1" x14ac:dyDescent="0.3">
      <c r="E7" s="38"/>
      <c r="H7" s="1482" t="str" cm="1">
        <f t="array" ref="H7">IF(OR(E11:E258="watercourse footprint"),"Please ensure the watercourse details for any watercourse footprints recorded are included in the watercourse tabs ⚠", "")</f>
        <v/>
      </c>
      <c r="I7" s="1482"/>
      <c r="J7" s="1482"/>
      <c r="K7" s="1482"/>
      <c r="L7" s="1482"/>
      <c r="P7" s="311"/>
      <c r="Q7" s="311"/>
      <c r="R7" s="311"/>
      <c r="S7" s="309"/>
      <c r="T7" s="309"/>
      <c r="U7" s="309"/>
      <c r="V7" s="309"/>
      <c r="W7" s="309"/>
    </row>
    <row r="8" spans="1:34" ht="15" thickBot="1" x14ac:dyDescent="0.25">
      <c r="D8" s="1455" t="s">
        <v>312</v>
      </c>
      <c r="E8" s="1456"/>
      <c r="F8" s="1456"/>
      <c r="G8" s="1456"/>
      <c r="H8" s="1456"/>
      <c r="I8" s="1456"/>
      <c r="J8" s="1456"/>
      <c r="K8" s="1456"/>
      <c r="L8" s="1456"/>
      <c r="M8" s="1456"/>
      <c r="N8" s="1456"/>
      <c r="O8" s="1456"/>
      <c r="P8" s="1456"/>
      <c r="Q8" s="1456"/>
      <c r="R8" s="1456"/>
      <c r="S8" s="1456"/>
      <c r="T8" s="1456"/>
      <c r="U8" s="1456"/>
      <c r="V8" s="1456"/>
      <c r="W8" s="1456"/>
      <c r="X8" s="1456"/>
      <c r="Y8" s="1456"/>
      <c r="Z8" s="1456"/>
      <c r="AA8" s="1457"/>
      <c r="AE8" s="1444" t="s">
        <v>313</v>
      </c>
    </row>
    <row r="9" spans="1:34" s="37" customFormat="1" ht="15" customHeight="1" thickBot="1" x14ac:dyDescent="0.25">
      <c r="B9" s="35"/>
      <c r="D9" s="1453" t="s">
        <v>283</v>
      </c>
      <c r="E9" s="1449" t="s">
        <v>314</v>
      </c>
      <c r="F9" s="1449" t="s">
        <v>314</v>
      </c>
      <c r="G9" s="1451" t="s">
        <v>286</v>
      </c>
      <c r="H9" s="1404" t="s">
        <v>270</v>
      </c>
      <c r="I9" s="1406"/>
      <c r="J9" s="1404" t="s">
        <v>271</v>
      </c>
      <c r="K9" s="1406"/>
      <c r="L9" s="1404" t="s">
        <v>272</v>
      </c>
      <c r="M9" s="1405"/>
      <c r="N9" s="1406"/>
      <c r="O9" s="1404" t="s">
        <v>315</v>
      </c>
      <c r="P9" s="1405"/>
      <c r="Q9" s="1405"/>
      <c r="R9" s="1405"/>
      <c r="S9" s="1405"/>
      <c r="T9" s="1406"/>
      <c r="U9" s="1407" t="s">
        <v>316</v>
      </c>
      <c r="V9" s="1408"/>
      <c r="W9" s="1408"/>
      <c r="X9" s="1409"/>
      <c r="Y9" s="1410" t="s">
        <v>317</v>
      </c>
      <c r="Z9" s="1458" t="s">
        <v>277</v>
      </c>
      <c r="AA9" s="1459"/>
      <c r="AB9" s="35"/>
      <c r="AC9" s="35"/>
      <c r="AD9" s="35"/>
      <c r="AE9" s="1444"/>
      <c r="AF9" s="35"/>
      <c r="AG9" s="35"/>
      <c r="AH9" s="35"/>
    </row>
    <row r="10" spans="1:34" ht="66" customHeight="1" thickBot="1" x14ac:dyDescent="0.25">
      <c r="A10" s="41" t="s">
        <v>281</v>
      </c>
      <c r="D10" s="1454"/>
      <c r="E10" s="1450"/>
      <c r="F10" s="1450"/>
      <c r="G10" s="1452"/>
      <c r="H10" s="807" t="s">
        <v>270</v>
      </c>
      <c r="I10" s="304" t="s">
        <v>287</v>
      </c>
      <c r="J10" s="808" t="s">
        <v>271</v>
      </c>
      <c r="K10" s="809" t="s">
        <v>287</v>
      </c>
      <c r="L10" s="45" t="s">
        <v>272</v>
      </c>
      <c r="M10" s="47" t="s">
        <v>272</v>
      </c>
      <c r="N10" s="48" t="s">
        <v>318</v>
      </c>
      <c r="O10" s="49" t="s">
        <v>319</v>
      </c>
      <c r="P10" s="753" t="s">
        <v>320</v>
      </c>
      <c r="Q10" s="753" t="s">
        <v>321</v>
      </c>
      <c r="R10" s="753" t="s">
        <v>322</v>
      </c>
      <c r="S10" s="753" t="s">
        <v>323</v>
      </c>
      <c r="T10" s="810" t="s">
        <v>324</v>
      </c>
      <c r="U10" s="746" t="s">
        <v>325</v>
      </c>
      <c r="V10" s="745" t="s">
        <v>326</v>
      </c>
      <c r="W10" s="745" t="s">
        <v>327</v>
      </c>
      <c r="X10" s="682" t="s">
        <v>328</v>
      </c>
      <c r="Y10" s="1411"/>
      <c r="Z10" s="44" t="s">
        <v>296</v>
      </c>
      <c r="AA10" s="43" t="s">
        <v>297</v>
      </c>
      <c r="AB10" s="48" t="s">
        <v>298</v>
      </c>
      <c r="AE10" s="35" t="s">
        <v>329</v>
      </c>
    </row>
    <row r="11" spans="1:34" ht="42.75" x14ac:dyDescent="0.2">
      <c r="A11" s="35" t="str">
        <f>IFERROR(INDEX('G-8 Condition Look up'!$I$4:$I$135,MATCH(F11,'G-8 Condition Look up'!$A$4:$A$135,0)),"")</f>
        <v>Cond1</v>
      </c>
      <c r="C11" s="299" t="str">
        <f>IFERROR(INDEX('G-1 All Habitats'!$AG$3:$AG$17,MATCH(D11,'G-1 All Habitats'!$AF$3:$AF$17,0)),"")</f>
        <v>Cropland</v>
      </c>
      <c r="D11" s="791" t="s">
        <v>124</v>
      </c>
      <c r="E11" s="812" t="s">
        <v>484</v>
      </c>
      <c r="F11" s="813" t="str">
        <f>IFERROR(INDEX('G-1 All Habitats'!$B$3:$B$134,MATCH(E11,'G-1 All Habitats'!$A$3:$A$134,0)),"")</f>
        <v>Cropland - Cereal crops</v>
      </c>
      <c r="G11" s="789">
        <v>9.6678704076385374E-2</v>
      </c>
      <c r="H11" s="443" t="str">
        <f>IF(F11="","",VLOOKUP(F11,'G-1 All Habitats'!$B$2:$M$134,10,FALSE))</f>
        <v>Low</v>
      </c>
      <c r="I11" s="790">
        <f>IFERROR(VLOOKUP(H11,'G-1 All Habitats'!$V$3:$W$7,2,FALSE),"")</f>
        <v>2</v>
      </c>
      <c r="J11" s="791" t="s">
        <v>493</v>
      </c>
      <c r="K11" s="790">
        <f>IFERROR(INDEX('G-8 Condition Look up'!$A$3:$H$135,MATCH(F11,'G-8 Condition Look up'!$A$3:$A$135,0),MATCH(J11,'G-8 Condition Look up'!$A$3:$H$3,0)),"")</f>
        <v>1</v>
      </c>
      <c r="L11" s="54" t="s">
        <v>1037</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1</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0.18658989886742378</v>
      </c>
      <c r="Z11" s="194" t="s">
        <v>1686</v>
      </c>
      <c r="AA11" s="195"/>
      <c r="AB11" s="118"/>
      <c r="AE11" s="40" t="str">
        <f t="shared" ref="AE11:AE74" si="0">IFERROR(INDEX(TemporalData,MATCH(F11,TemporalHabitats,0),MATCH($AE$10,TemporalConditions,0)),"")</f>
        <v>Not Possible</v>
      </c>
    </row>
    <row r="12" spans="1:34" ht="42.75" x14ac:dyDescent="0.2">
      <c r="A12" s="35" t="str">
        <f>IFERROR(INDEX('G-8 Condition Look up'!$I$4:$I$135,MATCH(F12,'G-8 Condition Look up'!$A$4:$A$135,0)),"")</f>
        <v>Cond4</v>
      </c>
      <c r="C12" s="299" t="str">
        <f>IFERROR(INDEX('G-1 All Habitats'!$AG$3:$AG$17,MATCH(D12,'G-1 All Habitats'!$AF$3:$AF$17,0)),"")</f>
        <v>Grassland</v>
      </c>
      <c r="D12" s="54" t="s">
        <v>125</v>
      </c>
      <c r="E12" s="61" t="s">
        <v>518</v>
      </c>
      <c r="F12" s="296" t="str">
        <f>IFERROR(INDEX('G-1 All Habitats'!$B$3:$B$134,MATCH(E12,'G-1 All Habitats'!$A$3:$A$134,0)),"")</f>
        <v>Grassland - Floodplain wetland mosaic and CFGM</v>
      </c>
      <c r="G12" s="53">
        <v>7.8349817633873755</v>
      </c>
      <c r="H12" s="362" t="str">
        <f>IF(F12="","",VLOOKUP(F12,'G-1 All Habitats'!$B$2:$M$134,10,FALSE))</f>
        <v>High</v>
      </c>
      <c r="I12" s="363">
        <f>IFERROR(VLOOKUP(H12,'G-1 All Habitats'!$V$3:$W$7,2,FALSE),"")</f>
        <v>6</v>
      </c>
      <c r="J12" s="54" t="s">
        <v>68</v>
      </c>
      <c r="K12" s="363">
        <f>IFERROR(INDEX('G-8 Condition Look up'!$A$3:$H$135,MATCH(F12,'G-8 Condition Look up'!$A$3:$A$135,0),MATCH(J12,'G-8 Condition Look up'!$A$3:$H$3,0)),"")</f>
        <v>3</v>
      </c>
      <c r="L12" s="54" t="s">
        <v>1037</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20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20</v>
      </c>
      <c r="T12" s="384">
        <f>IFERROR(IF(S12="Check Data ⚠","Check Data ⚠",VLOOKUP(S12,'G-4 Temporal multipliers'!$A$4:$C$37,3,FALSE)),"")</f>
        <v>0.49039526350000001</v>
      </c>
      <c r="U12" s="385" t="str">
        <f>IF(F12="","",VLOOKUP(F12,'G-3 Multipliers'!$A$2:$E$134,2,FALSE))</f>
        <v>High</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High</v>
      </c>
      <c r="X12" s="386">
        <f>IFERROR(IF(E12="","",VLOOKUP(W12, 'G-3 Multipliers'!$P$2:$Q$6,2,FALSE)),"")</f>
        <v>0.33</v>
      </c>
      <c r="Y12" s="390">
        <f t="shared" ref="Y12:Y75" si="4">IFERROR(G12*I12*K12*N12*T12*X12,"")</f>
        <v>22.82289340146184</v>
      </c>
      <c r="Z12" s="194"/>
      <c r="AA12" s="195"/>
      <c r="AB12" s="120"/>
      <c r="AE12" s="40">
        <f t="shared" si="0"/>
        <v>5</v>
      </c>
    </row>
    <row r="13" spans="1:34" ht="28.5" x14ac:dyDescent="0.2">
      <c r="A13" s="35" t="str">
        <f>IFERROR(INDEX('G-8 Condition Look up'!$I$4:$I$135,MATCH(F13,'G-8 Condition Look up'!$A$4:$A$135,0)),"")</f>
        <v>Cond4</v>
      </c>
      <c r="C13" s="299" t="str">
        <f>IFERROR(INDEX('G-1 All Habitats'!$AG$3:$AG$17,MATCH(D13,'G-1 All Habitats'!$AF$3:$AF$17,0)),"")</f>
        <v>Grassland</v>
      </c>
      <c r="D13" s="54" t="s">
        <v>125</v>
      </c>
      <c r="E13" s="61" t="s">
        <v>540</v>
      </c>
      <c r="F13" s="296" t="str">
        <f>IFERROR(INDEX('G-1 All Habitats'!$B$3:$B$134,MATCH(E13,'G-1 All Habitats'!$A$3:$A$134,0)),"")</f>
        <v>Grassland - Modified grassland</v>
      </c>
      <c r="G13" s="53">
        <v>345.28605912496283</v>
      </c>
      <c r="H13" s="362" t="str">
        <f>IF(F13="","",VLOOKUP(F13,'G-1 All Habitats'!$B$2:$M$134,10,FALSE))</f>
        <v>Low</v>
      </c>
      <c r="I13" s="363">
        <f>IFERROR(VLOOKUP(H13,'G-1 All Habitats'!$V$3:$W$7,2,FALSE),"")</f>
        <v>2</v>
      </c>
      <c r="J13" s="54" t="s">
        <v>68</v>
      </c>
      <c r="K13" s="363">
        <f>IFERROR(INDEX('G-8 Condition Look up'!$A$3:$H$135,MATCH(F13,'G-8 Condition Look up'!$A$3:$A$135,0),MATCH(J13,'G-8 Condition Look up'!$A$3:$H$3,0)),"")</f>
        <v>3</v>
      </c>
      <c r="L13" s="54" t="s">
        <v>1037</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7</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7</v>
      </c>
      <c r="T13" s="384">
        <f>IFERROR(IF(S13="Check Data ⚠","Check Data ⚠",VLOOKUP(S13,'G-4 Temporal multipliers'!$A$4:$C$37,3,FALSE)),"")</f>
        <v>0.77927580669999996</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1614.4384336012158</v>
      </c>
      <c r="Z13" s="194"/>
      <c r="AA13" s="195"/>
      <c r="AB13" s="120"/>
      <c r="AE13" s="40">
        <f t="shared" si="0"/>
        <v>1</v>
      </c>
    </row>
    <row r="14" spans="1:34" ht="28.5" x14ac:dyDescent="0.2">
      <c r="A14" s="35" t="str">
        <f>IFERROR(INDEX('G-8 Condition Look up'!$I$4:$I$135,MATCH(F14,'G-8 Condition Look up'!$A$4:$A$135,0)),"")</f>
        <v>Cond4</v>
      </c>
      <c r="C14" s="299" t="str">
        <f>IFERROR(INDEX('G-1 All Habitats'!$AG$3:$AG$17,MATCH(D14,'G-1 All Habitats'!$AF$3:$AF$17,0)),"")</f>
        <v>Grassland</v>
      </c>
      <c r="D14" s="54" t="s">
        <v>125</v>
      </c>
      <c r="E14" s="61" t="s">
        <v>540</v>
      </c>
      <c r="F14" s="296" t="str">
        <f>IFERROR(INDEX('G-1 All Habitats'!$B$3:$B$134,MATCH(E14,'G-1 All Habitats'!$A$3:$A$134,0)),"")</f>
        <v>Grassland - Modified grassland</v>
      </c>
      <c r="G14" s="53">
        <v>487.08337948569857</v>
      </c>
      <c r="H14" s="362" t="str">
        <f>IF(F14="","",VLOOKUP(F14,'G-1 All Habitats'!$B$2:$M$134,10,FALSE))</f>
        <v>Low</v>
      </c>
      <c r="I14" s="363">
        <f>IFERROR(VLOOKUP(H14,'G-1 All Habitats'!$V$3:$W$7,2,FALSE),"")</f>
        <v>2</v>
      </c>
      <c r="J14" s="54" t="s">
        <v>329</v>
      </c>
      <c r="K14" s="363">
        <f>IFERROR(INDEX('G-8 Condition Look up'!$A$3:$H$135,MATCH(F14,'G-8 Condition Look up'!$A$3:$A$135,0),MATCH(J14,'G-8 Condition Look up'!$A$3:$H$3,0)),"")</f>
        <v>1</v>
      </c>
      <c r="L14" s="54" t="s">
        <v>1037</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1</v>
      </c>
      <c r="P14" s="63">
        <v>0</v>
      </c>
      <c r="Q14" s="63">
        <v>0</v>
      </c>
      <c r="R14" s="370" t="str">
        <f t="shared" si="2"/>
        <v>Standard time to target condition applied</v>
      </c>
      <c r="S14" s="383">
        <f t="shared" si="3"/>
        <v>1</v>
      </c>
      <c r="T14" s="384">
        <f>IFERROR(IF(S14="Check Data ⚠","Check Data ⚠",VLOOKUP(S14,'G-4 Temporal multipliers'!$A$4:$C$37,3,FALSE)),"")</f>
        <v>0.96499999999999997</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940.07092240739826</v>
      </c>
      <c r="Z14" s="194"/>
      <c r="AA14" s="195"/>
      <c r="AB14" s="120"/>
      <c r="AE14" s="40">
        <f t="shared" si="0"/>
        <v>1</v>
      </c>
    </row>
    <row r="15" spans="1:34" ht="28.5" x14ac:dyDescent="0.2">
      <c r="A15" s="35" t="str">
        <f>IFERROR(INDEX('G-8 Condition Look up'!$I$4:$I$135,MATCH(F15,'G-8 Condition Look up'!$A$4:$A$135,0)),"")</f>
        <v>Cond4</v>
      </c>
      <c r="C15" s="299" t="str">
        <f>IFERROR(INDEX('G-1 All Habitats'!$AG$3:$AG$17,MATCH(D15,'G-1 All Habitats'!$AF$3:$AF$17,0)),"")</f>
        <v>Grassland</v>
      </c>
      <c r="D15" s="54" t="s">
        <v>125</v>
      </c>
      <c r="E15" s="61" t="s">
        <v>540</v>
      </c>
      <c r="F15" s="296" t="str">
        <f>IFERROR(INDEX('G-1 All Habitats'!$B$3:$B$134,MATCH(E15,'G-1 All Habitats'!$A$3:$A$134,0)),"")</f>
        <v>Grassland - Modified grassland</v>
      </c>
      <c r="G15" s="53">
        <v>1.6585515436516023E-2</v>
      </c>
      <c r="H15" s="362" t="str">
        <f>IF(F15="","",VLOOKUP(F15,'G-1 All Habitats'!$B$2:$M$134,10,FALSE))</f>
        <v>Low</v>
      </c>
      <c r="I15" s="363">
        <f>IFERROR(VLOOKUP(H15,'G-1 All Habitats'!$V$3:$W$7,2,FALSE),"")</f>
        <v>2</v>
      </c>
      <c r="J15" s="54" t="s">
        <v>67</v>
      </c>
      <c r="K15" s="363">
        <f>IFERROR(INDEX('G-8 Condition Look up'!$A$3:$H$135,MATCH(F15,'G-8 Condition Look up'!$A$3:$A$135,0),MATCH(J15,'G-8 Condition Look up'!$A$3:$H$3,0)),"")</f>
        <v>2</v>
      </c>
      <c r="L15" s="54" t="s">
        <v>1037</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4</v>
      </c>
      <c r="P15" s="63">
        <v>0</v>
      </c>
      <c r="Q15" s="63">
        <v>0</v>
      </c>
      <c r="R15" s="370" t="str">
        <f t="shared" si="2"/>
        <v>Standard time to target condition applied</v>
      </c>
      <c r="S15" s="383">
        <f t="shared" si="3"/>
        <v>4</v>
      </c>
      <c r="T15" s="384">
        <f>IFERROR(IF(S15="Check Data ⚠","Check Data ⚠",VLOOKUP(S15,'G-4 Temporal multipliers'!$A$4:$C$37,3,FALSE)),"")</f>
        <v>0.86718000059999989</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Low</v>
      </c>
      <c r="X15" s="386">
        <f>IFERROR(IF(E15="","",VLOOKUP(W15, 'G-3 Multipliers'!$P$2:$Q$6,2,FALSE)),"")</f>
        <v>1</v>
      </c>
      <c r="Y15" s="390">
        <f t="shared" si="4"/>
        <v>5.7530509144757089E-2</v>
      </c>
      <c r="Z15" s="194" t="s">
        <v>1686</v>
      </c>
      <c r="AA15" s="195"/>
      <c r="AB15" s="120"/>
      <c r="AE15" s="40">
        <f t="shared" si="0"/>
        <v>1</v>
      </c>
    </row>
    <row r="16" spans="1:34" ht="28.5" x14ac:dyDescent="0.2">
      <c r="A16" s="35" t="str">
        <f>IFERROR(INDEX('G-8 Condition Look up'!$I$4:$I$135,MATCH(F16,'G-8 Condition Look up'!$A$4:$A$135,0)),"")</f>
        <v>Cond4</v>
      </c>
      <c r="C16" s="299" t="str">
        <f>IFERROR(INDEX('G-1 All Habitats'!$AG$3:$AG$17,MATCH(D16,'G-1 All Habitats'!$AF$3:$AF$17,0)),"")</f>
        <v>Grassland</v>
      </c>
      <c r="D16" s="54" t="s">
        <v>125</v>
      </c>
      <c r="E16" s="61" t="s">
        <v>547</v>
      </c>
      <c r="F16" s="296" t="str">
        <f>IFERROR(INDEX('G-1 All Habitats'!$B$3:$B$134,MATCH(E16,'G-1 All Habitats'!$A$3:$A$134,0)),"")</f>
        <v>Grassland - Other neutral grassland</v>
      </c>
      <c r="G16" s="53">
        <v>61.458095859698346</v>
      </c>
      <c r="H16" s="362" t="str">
        <f>IF(F16="","",VLOOKUP(F16,'G-1 All Habitats'!$B$2:$M$134,10,FALSE))</f>
        <v>Medium</v>
      </c>
      <c r="I16" s="363">
        <f>IFERROR(VLOOKUP(H16,'G-1 All Habitats'!$V$3:$W$7,2,FALSE),"")</f>
        <v>4</v>
      </c>
      <c r="J16" s="54" t="s">
        <v>68</v>
      </c>
      <c r="K16" s="363">
        <f>IFERROR(INDEX('G-8 Condition Look up'!$A$3:$H$135,MATCH(F16,'G-8 Condition Look up'!$A$3:$A$135,0),MATCH(J16,'G-8 Condition Look up'!$A$3:$H$3,0)),"")</f>
        <v>3</v>
      </c>
      <c r="L16" s="54" t="s">
        <v>1037</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10</v>
      </c>
      <c r="P16" s="63">
        <v>0</v>
      </c>
      <c r="Q16" s="63">
        <v>0</v>
      </c>
      <c r="R16" s="370" t="str">
        <f t="shared" si="2"/>
        <v>Standard time to target condition applied</v>
      </c>
      <c r="S16" s="383">
        <f t="shared" si="3"/>
        <v>10</v>
      </c>
      <c r="T16" s="384">
        <f>IFERROR(IF(S16="Check Data ⚠","Check Data ⚠",VLOOKUP(S16,'G-4 Temporal multipliers'!$A$4:$C$37,3,FALSE)),"")</f>
        <v>0.70028227419999989</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516.45618163957386</v>
      </c>
      <c r="Z16" s="194"/>
      <c r="AA16" s="195"/>
      <c r="AB16" s="120"/>
      <c r="AE16" s="40">
        <f t="shared" si="0"/>
        <v>2</v>
      </c>
    </row>
    <row r="17" spans="1:31" ht="28.5" x14ac:dyDescent="0.2">
      <c r="A17" s="35" t="str">
        <f>IFERROR(INDEX('G-8 Condition Look up'!$I$4:$I$135,MATCH(F17,'G-8 Condition Look up'!$A$4:$A$135,0)),"")</f>
        <v>Cond4</v>
      </c>
      <c r="C17" s="299" t="str">
        <f>IFERROR(INDEX('G-1 All Habitats'!$AG$3:$AG$17,MATCH(D17,'G-1 All Habitats'!$AF$3:$AF$17,0)),"")</f>
        <v>Grassland</v>
      </c>
      <c r="D17" s="54" t="s">
        <v>125</v>
      </c>
      <c r="E17" s="61" t="s">
        <v>547</v>
      </c>
      <c r="F17" s="296" t="str">
        <f>IFERROR(INDEX('G-1 All Habitats'!$B$3:$B$134,MATCH(E17,'G-1 All Habitats'!$A$3:$A$134,0)),"")</f>
        <v>Grassland - Other neutral grassland</v>
      </c>
      <c r="G17" s="53">
        <v>64.555232491501016</v>
      </c>
      <c r="H17" s="362" t="str">
        <f>IF(F17="","",VLOOKUP(F17,'G-1 All Habitats'!$B$2:$M$134,10,FALSE))</f>
        <v>Medium</v>
      </c>
      <c r="I17" s="363">
        <f>IFERROR(VLOOKUP(H17,'G-1 All Habitats'!$V$3:$W$7,2,FALSE),"")</f>
        <v>4</v>
      </c>
      <c r="J17" s="54" t="s">
        <v>68</v>
      </c>
      <c r="K17" s="363">
        <f>IFERROR(INDEX('G-8 Condition Look up'!$A$3:$H$135,MATCH(F17,'G-8 Condition Look up'!$A$3:$A$135,0),MATCH(J17,'G-8 Condition Look up'!$A$3:$H$3,0)),"")</f>
        <v>3</v>
      </c>
      <c r="L17" s="54" t="s">
        <v>1037</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10</v>
      </c>
      <c r="P17" s="63">
        <v>0</v>
      </c>
      <c r="Q17" s="63">
        <v>0</v>
      </c>
      <c r="R17" s="370" t="str">
        <f t="shared" si="2"/>
        <v>Standard time to target condition applied</v>
      </c>
      <c r="S17" s="383">
        <f t="shared" si="3"/>
        <v>10</v>
      </c>
      <c r="T17" s="384">
        <f>IFERROR(IF(S17="Check Data ⚠","Check Data ⚠",VLOOKUP(S17,'G-4 Temporal multipliers'!$A$4:$C$37,3,FALSE)),"")</f>
        <v>0.70028227419999989</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Low</v>
      </c>
      <c r="X17" s="386">
        <f>IFERROR(IF(E17="","",VLOOKUP(W17, 'G-3 Multipliers'!$P$2:$Q$6,2,FALSE)),"")</f>
        <v>1</v>
      </c>
      <c r="Y17" s="390">
        <f t="shared" si="4"/>
        <v>542.48262024789665</v>
      </c>
      <c r="Z17" s="194"/>
      <c r="AA17" s="195"/>
      <c r="AB17" s="120"/>
      <c r="AE17" s="40">
        <f t="shared" si="0"/>
        <v>2</v>
      </c>
    </row>
    <row r="18" spans="1:31" ht="28.5" x14ac:dyDescent="0.2">
      <c r="A18" s="35" t="str">
        <f>IFERROR(INDEX('G-8 Condition Look up'!$I$4:$I$135,MATCH(F18,'G-8 Condition Look up'!$A$4:$A$135,0)),"")</f>
        <v>Cond4</v>
      </c>
      <c r="C18" s="299" t="str">
        <f>IFERROR(INDEX('G-1 All Habitats'!$AG$3:$AG$17,MATCH(D18,'G-1 All Habitats'!$AF$3:$AF$17,0)),"")</f>
        <v>Heathland_and_shrub</v>
      </c>
      <c r="D18" s="54" t="s">
        <v>126</v>
      </c>
      <c r="E18" s="61" t="s">
        <v>589</v>
      </c>
      <c r="F18" s="296" t="str">
        <f>IFERROR(INDEX('G-1 All Habitats'!$B$3:$B$134,MATCH(E18,'G-1 All Habitats'!$A$3:$A$134,0)),"")</f>
        <v>Heathland and shrub - Mixed scrub</v>
      </c>
      <c r="G18" s="53">
        <v>1.8058745831245968</v>
      </c>
      <c r="H18" s="362" t="str">
        <f>IF(F18="","",VLOOKUP(F18,'G-1 All Habitats'!$B$2:$M$134,10,FALSE))</f>
        <v>Medium</v>
      </c>
      <c r="I18" s="363">
        <f>IFERROR(VLOOKUP(H18,'G-1 All Habitats'!$V$3:$W$7,2,FALSE),"")</f>
        <v>4</v>
      </c>
      <c r="J18" s="54" t="s">
        <v>67</v>
      </c>
      <c r="K18" s="363">
        <f>IFERROR(INDEX('G-8 Condition Look up'!$A$3:$H$135,MATCH(F18,'G-8 Condition Look up'!$A$3:$A$135,0),MATCH(J18,'G-8 Condition Look up'!$A$3:$H$3,0)),"")</f>
        <v>2</v>
      </c>
      <c r="L18" s="54" t="s">
        <v>1037</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5</v>
      </c>
      <c r="P18" s="63">
        <v>0</v>
      </c>
      <c r="Q18" s="63">
        <v>0</v>
      </c>
      <c r="R18" s="370" t="str">
        <f t="shared" si="2"/>
        <v>Standard time to target condition applied</v>
      </c>
      <c r="S18" s="383">
        <f t="shared" si="3"/>
        <v>5</v>
      </c>
      <c r="T18" s="384">
        <f>IFERROR(IF(S18="Check Data ⚠","Check Data ⚠",VLOOKUP(S18,'G-4 Temporal multipliers'!$A$4:$C$37,3,FALSE)),"")</f>
        <v>0.83682870060000003</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Low</v>
      </c>
      <c r="X18" s="386">
        <f>IFERROR(IF(E18="","",VLOOKUP(W18, 'G-3 Multipliers'!$P$2:$Q$6,2,FALSE)),"")</f>
        <v>1</v>
      </c>
      <c r="Y18" s="390">
        <f t="shared" si="4"/>
        <v>12.089661446741784</v>
      </c>
      <c r="Z18" s="194"/>
      <c r="AA18" s="195"/>
      <c r="AB18" s="120"/>
      <c r="AE18" s="40">
        <f t="shared" si="0"/>
        <v>1</v>
      </c>
    </row>
    <row r="19" spans="1:31" ht="28.5" x14ac:dyDescent="0.2">
      <c r="A19" s="35" t="str">
        <f>IFERROR(INDEX('G-8 Condition Look up'!$I$4:$I$135,MATCH(F19,'G-8 Condition Look up'!$A$4:$A$135,0)),"")</f>
        <v>Cond4</v>
      </c>
      <c r="C19" s="299" t="str">
        <f>IFERROR(INDEX('G-1 All Habitats'!$AG$3:$AG$17,MATCH(D19,'G-1 All Habitats'!$AF$3:$AF$17,0)),"")</f>
        <v>Heathland_and_shrub</v>
      </c>
      <c r="D19" s="54" t="s">
        <v>126</v>
      </c>
      <c r="E19" s="61" t="s">
        <v>589</v>
      </c>
      <c r="F19" s="296" t="str">
        <f>IFERROR(INDEX('G-1 All Habitats'!$B$3:$B$134,MATCH(E19,'G-1 All Habitats'!$A$3:$A$134,0)),"")</f>
        <v>Heathland and shrub - Mixed scrub</v>
      </c>
      <c r="G19" s="53">
        <v>2.4586224774165986E-3</v>
      </c>
      <c r="H19" s="362" t="str">
        <f>IF(F19="","",VLOOKUP(F19,'G-1 All Habitats'!$B$2:$M$134,10,FALSE))</f>
        <v>Medium</v>
      </c>
      <c r="I19" s="363">
        <f>IFERROR(VLOOKUP(H19,'G-1 All Habitats'!$V$3:$W$7,2,FALSE),"")</f>
        <v>4</v>
      </c>
      <c r="J19" s="54" t="s">
        <v>67</v>
      </c>
      <c r="K19" s="363">
        <f>IFERROR(INDEX('G-8 Condition Look up'!$A$3:$H$135,MATCH(F19,'G-8 Condition Look up'!$A$3:$A$135,0),MATCH(J19,'G-8 Condition Look up'!$A$3:$H$3,0)),"")</f>
        <v>2</v>
      </c>
      <c r="L19" s="54" t="s">
        <v>1037</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5</v>
      </c>
      <c r="P19" s="63">
        <v>0</v>
      </c>
      <c r="Q19" s="63">
        <v>0</v>
      </c>
      <c r="R19" s="370" t="str">
        <f t="shared" si="2"/>
        <v>Standard time to target condition applied</v>
      </c>
      <c r="S19" s="383">
        <f t="shared" si="3"/>
        <v>5</v>
      </c>
      <c r="T19" s="384">
        <f>IFERROR(IF(S19="Check Data ⚠","Check Data ⚠",VLOOKUP(S19,'G-4 Temporal multipliers'!$A$4:$C$37,3,FALSE)),"")</f>
        <v>0.83682870060000003</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1.6459566824339879E-2</v>
      </c>
      <c r="Z19" s="194" t="s">
        <v>1686</v>
      </c>
      <c r="AA19" s="195"/>
      <c r="AB19" s="120"/>
      <c r="AE19" s="40">
        <f t="shared" si="0"/>
        <v>1</v>
      </c>
    </row>
    <row r="20" spans="1:31" ht="28.5" x14ac:dyDescent="0.2">
      <c r="A20" s="35" t="str">
        <f>IFERROR(INDEX('G-8 Condition Look up'!$I$4:$I$135,MATCH(F20,'G-8 Condition Look up'!$A$4:$A$135,0)),"")</f>
        <v>Cond4</v>
      </c>
      <c r="C20" s="299" t="str">
        <f>IFERROR(INDEX('G-1 All Habitats'!$AG$3:$AG$17,MATCH(D20,'G-1 All Habitats'!$AF$3:$AF$17,0)),"")</f>
        <v>Urban</v>
      </c>
      <c r="D20" s="54" t="s">
        <v>129</v>
      </c>
      <c r="E20" s="61" t="s">
        <v>684</v>
      </c>
      <c r="F20" s="296" t="str">
        <f>IFERROR(INDEX('G-1 All Habitats'!$B$3:$B$134,MATCH(E20,'G-1 All Habitats'!$A$3:$A$134,0)),"")</f>
        <v>Urban - Allotments</v>
      </c>
      <c r="G20" s="53">
        <v>21.52456739403592</v>
      </c>
      <c r="H20" s="362" t="str">
        <f>IF(F20="","",VLOOKUP(F20,'G-1 All Habitats'!$B$2:$M$134,10,FALSE))</f>
        <v>Low</v>
      </c>
      <c r="I20" s="363">
        <f>IFERROR(VLOOKUP(H20,'G-1 All Habitats'!$V$3:$W$7,2,FALSE),"")</f>
        <v>2</v>
      </c>
      <c r="J20" s="54" t="s">
        <v>67</v>
      </c>
      <c r="K20" s="363">
        <f>IFERROR(INDEX('G-8 Condition Look up'!$A$3:$H$135,MATCH(F20,'G-8 Condition Look up'!$A$3:$A$135,0),MATCH(J20,'G-8 Condition Look up'!$A$3:$H$3,0)),"")</f>
        <v>2</v>
      </c>
      <c r="L20" s="54" t="s">
        <v>1037</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1</v>
      </c>
      <c r="P20" s="63">
        <v>0</v>
      </c>
      <c r="Q20" s="63">
        <v>0</v>
      </c>
      <c r="R20" s="370" t="str">
        <f t="shared" si="2"/>
        <v>Standard time to target condition applied</v>
      </c>
      <c r="S20" s="383">
        <f t="shared" si="3"/>
        <v>1</v>
      </c>
      <c r="T20" s="384">
        <f>IFERROR(IF(S20="Check Data ⚠","Check Data ⚠",VLOOKUP(S20,'G-4 Temporal multipliers'!$A$4:$C$37,3,FALSE)),"")</f>
        <v>0.96499999999999997</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83.084830140978653</v>
      </c>
      <c r="Z20" s="194"/>
      <c r="AA20" s="195"/>
      <c r="AB20" s="120"/>
      <c r="AE20" s="40">
        <f t="shared" si="0"/>
        <v>1</v>
      </c>
    </row>
    <row r="21" spans="1:31" ht="42.75" x14ac:dyDescent="0.2">
      <c r="A21" s="35" t="str">
        <f>IFERROR(INDEX('G-8 Condition Look up'!$I$4:$I$135,MATCH(F21,'G-8 Condition Look up'!$A$4:$A$135,0)),"")</f>
        <v>Cond2</v>
      </c>
      <c r="C21" s="299" t="str">
        <f>IFERROR(INDEX('G-1 All Habitats'!$AG$3:$AG$17,MATCH(D21,'G-1 All Habitats'!$AF$3:$AF$17,0)),"")</f>
        <v>Urban</v>
      </c>
      <c r="D21" s="54" t="s">
        <v>129</v>
      </c>
      <c r="E21" s="61" t="s">
        <v>686</v>
      </c>
      <c r="F21" s="296" t="str">
        <f>IFERROR(INDEX('G-1 All Habitats'!$B$3:$B$134,MATCH(E21,'G-1 All Habitats'!$A$3:$A$134,0)),"")</f>
        <v>Urban - Artificial unvegetated, unsealed surface</v>
      </c>
      <c r="G21" s="53">
        <v>25.560019302646221</v>
      </c>
      <c r="H21" s="362" t="str">
        <f>IF(F21="","",VLOOKUP(F21,'G-1 All Habitats'!$B$2:$M$134,10,FALSE))</f>
        <v>V.Low</v>
      </c>
      <c r="I21" s="363">
        <f>IFERROR(VLOOKUP(H21,'G-1 All Habitats'!$V$3:$W$7,2,FALSE),"")</f>
        <v>0</v>
      </c>
      <c r="J21" s="54" t="s">
        <v>497</v>
      </c>
      <c r="K21" s="363">
        <f>IFERROR(INDEX('G-8 Condition Look up'!$A$3:$H$135,MATCH(F21,'G-8 Condition Look up'!$A$3:$A$135,0),MATCH(J21,'G-8 Condition Look up'!$A$3:$H$3,0)),"")</f>
        <v>0</v>
      </c>
      <c r="L21" s="54" t="s">
        <v>1037</v>
      </c>
      <c r="M21" s="370" t="str">
        <f>IF(L21="","",IF(VLOOKUP(L21,'G-3 Multipliers'!$L$3:$N$6,2,FALSE)=0,"Spatial Data Missing",VLOOKUP(L21,'G-3 Multipliers'!$L$3:$N$6,2,FALSE)))</f>
        <v>Low Strategic Significance</v>
      </c>
      <c r="N21" s="368">
        <f>IF(L21="","",IF(VLOOKUP(L21,'G-3 Multipliers'!$L$3:$N$6,3,FALSE)=0,"Spatial Data Missing",VLOOKUP(L21,'G-3 Multipliers'!$L$3:$N$6,3,FALSE)))</f>
        <v>1</v>
      </c>
      <c r="O21" s="362">
        <f t="shared" si="1"/>
        <v>0</v>
      </c>
      <c r="P21" s="63">
        <v>0</v>
      </c>
      <c r="Q21" s="63">
        <v>0</v>
      </c>
      <c r="R21" s="370" t="str">
        <f t="shared" si="2"/>
        <v>Standard time to target condition applied</v>
      </c>
      <c r="S21" s="383">
        <f t="shared" si="3"/>
        <v>0</v>
      </c>
      <c r="T21" s="384">
        <f>IFERROR(IF(S21="Check Data ⚠","Check Data ⚠",VLOOKUP(S21,'G-4 Temporal multipliers'!$A$4:$C$37,3,FALSE)),"")</f>
        <v>1</v>
      </c>
      <c r="U21" s="385" t="str">
        <f>IF(F21="","",VLOOKUP(F21,'G-3 Multipliers'!$A$2:$E$134,2,FALSE))</f>
        <v>Low</v>
      </c>
      <c r="V21" s="382" t="str">
        <f t="shared" si="5"/>
        <v>Standard difficulty applied</v>
      </c>
      <c r="W21" s="382" t="str">
        <f>IF(E21="","",IF(AND(V21="Standard difficulty applied",O21&gt;P21),U21,IF(AND(V21="Low Difficulty - only applicable if all habitat created before losses",P21&gt;=O21),"Low",VLOOKUP(F21,'G-3 Multipliers'!$A$2:$E$134,4,FALSE))))</f>
        <v>Low</v>
      </c>
      <c r="X21" s="386">
        <f>IFERROR(IF(E21="","",VLOOKUP(W21, 'G-3 Multipliers'!$P$2:$Q$6,2,FALSE)),"")</f>
        <v>1</v>
      </c>
      <c r="Y21" s="390">
        <f t="shared" si="4"/>
        <v>0</v>
      </c>
      <c r="Z21" s="194"/>
      <c r="AA21" s="195"/>
      <c r="AB21" s="120"/>
      <c r="AE21" s="40" t="str">
        <f t="shared" si="0"/>
        <v>Not Possible</v>
      </c>
    </row>
    <row r="22" spans="1:31" ht="28.5" x14ac:dyDescent="0.2">
      <c r="A22" s="35" t="str">
        <f>IFERROR(INDEX('G-8 Condition Look up'!$I$4:$I$135,MATCH(F22,'G-8 Condition Look up'!$A$4:$A$135,0)),"")</f>
        <v>Cond2</v>
      </c>
      <c r="C22" s="299" t="str">
        <f>IFERROR(INDEX('G-1 All Habitats'!$AG$3:$AG$17,MATCH(D22,'G-1 All Habitats'!$AF$3:$AF$17,0)),"")</f>
        <v>Urban</v>
      </c>
      <c r="D22" s="54" t="s">
        <v>129</v>
      </c>
      <c r="E22" s="61" t="s">
        <v>699</v>
      </c>
      <c r="F22" s="296" t="str">
        <f>IFERROR(INDEX('G-1 All Habitats'!$B$3:$B$134,MATCH(E22,'G-1 All Habitats'!$A$3:$A$134,0)),"")</f>
        <v>Urban - Developed land; sealed surface</v>
      </c>
      <c r="G22" s="53">
        <v>4.8690142773709262</v>
      </c>
      <c r="H22" s="362" t="str">
        <f>IF(F22="","",VLOOKUP(F22,'G-1 All Habitats'!$B$2:$M$134,10,FALSE))</f>
        <v>V.Low</v>
      </c>
      <c r="I22" s="363">
        <f>IFERROR(VLOOKUP(H22,'G-1 All Habitats'!$V$3:$W$7,2,FALSE),"")</f>
        <v>0</v>
      </c>
      <c r="J22" s="54" t="s">
        <v>497</v>
      </c>
      <c r="K22" s="363">
        <f>IFERROR(INDEX('G-8 Condition Look up'!$A$3:$H$135,MATCH(F22,'G-8 Condition Look up'!$A$3:$A$135,0),MATCH(J22,'G-8 Condition Look up'!$A$3:$H$3,0)),"")</f>
        <v>0</v>
      </c>
      <c r="L22" s="54" t="s">
        <v>1037</v>
      </c>
      <c r="M22" s="370" t="str">
        <f>IF(L22="","",IF(VLOOKUP(L22,'G-3 Multipliers'!$L$3:$N$6,2,FALSE)=0,"Spatial Data Missing",VLOOKUP(L22,'G-3 Multipliers'!$L$3:$N$6,2,FALSE)))</f>
        <v>Low Strategic Significance</v>
      </c>
      <c r="N22" s="368">
        <f>IF(L22="","",IF(VLOOKUP(L22,'G-3 Multipliers'!$L$3:$N$6,3,FALSE)=0,"Spatial Data Missing",VLOOKUP(L22,'G-3 Multipliers'!$L$3:$N$6,3,FALSE)))</f>
        <v>1</v>
      </c>
      <c r="O22" s="362">
        <f t="shared" si="1"/>
        <v>0</v>
      </c>
      <c r="P22" s="63">
        <v>0</v>
      </c>
      <c r="Q22" s="63">
        <v>0</v>
      </c>
      <c r="R22" s="370" t="str">
        <f t="shared" si="2"/>
        <v>Standard time to target condition applied</v>
      </c>
      <c r="S22" s="383">
        <f t="shared" si="3"/>
        <v>0</v>
      </c>
      <c r="T22" s="384">
        <f>IFERROR(IF(S22="Check Data ⚠","Check Data ⚠",VLOOKUP(S22,'G-4 Temporal multipliers'!$A$4:$C$37,3,FALSE)),"")</f>
        <v>1</v>
      </c>
      <c r="U22" s="385" t="str">
        <f>IF(F22="","",VLOOKUP(F22,'G-3 Multipliers'!$A$2:$E$134,2,FALSE))</f>
        <v>Low</v>
      </c>
      <c r="V22" s="382" t="str">
        <f t="shared" si="5"/>
        <v>Standard difficulty applied</v>
      </c>
      <c r="W22" s="382" t="str">
        <f>IF(E22="","",IF(AND(V22="Standard difficulty applied",O22&gt;P22),U22,IF(AND(V22="Low Difficulty - only applicable if all habitat created before losses",P22&gt;=O22),"Low",VLOOKUP(F22,'G-3 Multipliers'!$A$2:$E$134,4,FALSE))))</f>
        <v>Medium</v>
      </c>
      <c r="X22" s="386">
        <f>IFERROR(IF(E22="","",VLOOKUP(W22, 'G-3 Multipliers'!$P$2:$Q$6,2,FALSE)),"")</f>
        <v>0.67</v>
      </c>
      <c r="Y22" s="390">
        <f t="shared" si="4"/>
        <v>0</v>
      </c>
      <c r="Z22" s="194"/>
      <c r="AA22" s="195"/>
      <c r="AB22" s="120"/>
      <c r="AE22" s="40" t="str">
        <f t="shared" si="0"/>
        <v>Not Possible</v>
      </c>
    </row>
    <row r="23" spans="1:31" ht="28.5" x14ac:dyDescent="0.2">
      <c r="A23" s="35" t="str">
        <f>IFERROR(INDEX('G-8 Condition Look up'!$I$4:$I$135,MATCH(F23,'G-8 Condition Look up'!$A$4:$A$135,0)),"")</f>
        <v>Cond2</v>
      </c>
      <c r="C23" s="299" t="str">
        <f>IFERROR(INDEX('G-1 All Habitats'!$AG$3:$AG$17,MATCH(D23,'G-1 All Habitats'!$AF$3:$AF$17,0)),"")</f>
        <v>Urban</v>
      </c>
      <c r="D23" s="54" t="s">
        <v>129</v>
      </c>
      <c r="E23" s="61" t="s">
        <v>699</v>
      </c>
      <c r="F23" s="296" t="str">
        <f>IFERROR(INDEX('G-1 All Habitats'!$B$3:$B$134,MATCH(E23,'G-1 All Habitats'!$A$3:$A$134,0)),"")</f>
        <v>Urban - Developed land; sealed surface</v>
      </c>
      <c r="G23" s="53">
        <v>9.74060349462679E-2</v>
      </c>
      <c r="H23" s="362" t="str">
        <f>IF(F23="","",VLOOKUP(F23,'G-1 All Habitats'!$B$2:$M$134,10,FALSE))</f>
        <v>V.Low</v>
      </c>
      <c r="I23" s="363">
        <f>IFERROR(VLOOKUP(H23,'G-1 All Habitats'!$V$3:$W$7,2,FALSE),"")</f>
        <v>0</v>
      </c>
      <c r="J23" s="54" t="s">
        <v>497</v>
      </c>
      <c r="K23" s="363">
        <f>IFERROR(INDEX('G-8 Condition Look up'!$A$3:$H$135,MATCH(F23,'G-8 Condition Look up'!$A$3:$A$135,0),MATCH(J23,'G-8 Condition Look up'!$A$3:$H$3,0)),"")</f>
        <v>0</v>
      </c>
      <c r="L23" s="54" t="s">
        <v>1037</v>
      </c>
      <c r="M23" s="370" t="str">
        <f>IF(L23="","",IF(VLOOKUP(L23,'G-3 Multipliers'!$L$3:$N$6,2,FALSE)=0,"Spatial Data Missing",VLOOKUP(L23,'G-3 Multipliers'!$L$3:$N$6,2,FALSE)))</f>
        <v>Low Strategic Significance</v>
      </c>
      <c r="N23" s="368">
        <f>IF(L23="","",IF(VLOOKUP(L23,'G-3 Multipliers'!$L$3:$N$6,3,FALSE)=0,"Spatial Data Missing",VLOOKUP(L23,'G-3 Multipliers'!$L$3:$N$6,3,FALSE)))</f>
        <v>1</v>
      </c>
      <c r="O23" s="362">
        <f t="shared" si="1"/>
        <v>0</v>
      </c>
      <c r="P23" s="63">
        <v>0</v>
      </c>
      <c r="Q23" s="63">
        <v>0</v>
      </c>
      <c r="R23" s="370" t="str">
        <f t="shared" si="2"/>
        <v>Standard time to target condition applied</v>
      </c>
      <c r="S23" s="383">
        <f t="shared" si="3"/>
        <v>0</v>
      </c>
      <c r="T23" s="384">
        <f>IFERROR(IF(S23="Check Data ⚠","Check Data ⚠",VLOOKUP(S23,'G-4 Temporal multipliers'!$A$4:$C$37,3,FALSE)),"")</f>
        <v>1</v>
      </c>
      <c r="U23" s="385" t="str">
        <f>IF(F23="","",VLOOKUP(F23,'G-3 Multipliers'!$A$2:$E$134,2,FALSE))</f>
        <v>Low</v>
      </c>
      <c r="V23" s="382" t="str">
        <f t="shared" si="5"/>
        <v>Standard difficulty applied</v>
      </c>
      <c r="W23" s="382" t="str">
        <f>IF(E23="","",IF(AND(V23="Standard difficulty applied",O23&gt;P23),U23,IF(AND(V23="Low Difficulty - only applicable if all habitat created before losses",P23&gt;=O23),"Low",VLOOKUP(F23,'G-3 Multipliers'!$A$2:$E$134,4,FALSE))))</f>
        <v>Medium</v>
      </c>
      <c r="X23" s="386">
        <f>IFERROR(IF(E23="","",VLOOKUP(W23, 'G-3 Multipliers'!$P$2:$Q$6,2,FALSE)),"")</f>
        <v>0.67</v>
      </c>
      <c r="Y23" s="390">
        <f t="shared" si="4"/>
        <v>0</v>
      </c>
      <c r="Z23" s="194" t="s">
        <v>1686</v>
      </c>
      <c r="AA23" s="195"/>
      <c r="AB23" s="120"/>
      <c r="AE23" s="40" t="str">
        <f t="shared" si="0"/>
        <v>Not Possible</v>
      </c>
    </row>
    <row r="24" spans="1:31" ht="42.75" x14ac:dyDescent="0.2">
      <c r="A24" s="35" t="str">
        <f>IFERROR(INDEX('G-8 Condition Look up'!$I$4:$I$135,MATCH(F24,'G-8 Condition Look up'!$A$4:$A$135,0)),"")</f>
        <v>Cond4</v>
      </c>
      <c r="C24" s="299" t="str">
        <f>IFERROR(INDEX('G-1 All Habitats'!$AG$3:$AG$17,MATCH(D24,'G-1 All Habitats'!$AF$3:$AF$17,0)),"")</f>
        <v>Woodland_and_forest</v>
      </c>
      <c r="D24" s="54" t="s">
        <v>131</v>
      </c>
      <c r="E24" s="61" t="s">
        <v>803</v>
      </c>
      <c r="F24" s="296" t="str">
        <f>IFERROR(INDEX('G-1 All Habitats'!$B$3:$B$134,MATCH(E24,'G-1 All Habitats'!$A$3:$A$134,0)),"")</f>
        <v>Woodland and forest - Other woodland; broadleaved</v>
      </c>
      <c r="G24" s="53">
        <v>4.1845758984702632</v>
      </c>
      <c r="H24" s="362" t="str">
        <f>IF(F24="","",VLOOKUP(F24,'G-1 All Habitats'!$B$2:$M$134,10,FALSE))</f>
        <v>Medium</v>
      </c>
      <c r="I24" s="363">
        <f>IFERROR(VLOOKUP(H24,'G-1 All Habitats'!$V$3:$W$7,2,FALSE),"")</f>
        <v>4</v>
      </c>
      <c r="J24" s="54" t="s">
        <v>67</v>
      </c>
      <c r="K24" s="363">
        <f>IFERROR(INDEX('G-8 Condition Look up'!$A$3:$H$135,MATCH(F24,'G-8 Condition Look up'!$A$3:$A$135,0),MATCH(J24,'G-8 Condition Look up'!$A$3:$H$3,0)),"")</f>
        <v>2</v>
      </c>
      <c r="L24" s="54" t="s">
        <v>1037</v>
      </c>
      <c r="M24" s="370" t="str">
        <f>IF(L24="","",IF(VLOOKUP(L24,'G-3 Multipliers'!$L$3:$N$6,2,FALSE)=0,"Spatial Data Missing",VLOOKUP(L24,'G-3 Multipliers'!$L$3:$N$6,2,FALSE)))</f>
        <v>Low Strategic Significance</v>
      </c>
      <c r="N24" s="368">
        <f>IF(L24="","",IF(VLOOKUP(L24,'G-3 Multipliers'!$L$3:$N$6,3,FALSE)=0,"Spatial Data Missing",VLOOKUP(L24,'G-3 Multipliers'!$L$3:$N$6,3,FALSE)))</f>
        <v>1</v>
      </c>
      <c r="O24" s="362">
        <f t="shared" si="1"/>
        <v>15</v>
      </c>
      <c r="P24" s="63">
        <v>0</v>
      </c>
      <c r="Q24" s="63">
        <v>0</v>
      </c>
      <c r="R24" s="370" t="str">
        <f t="shared" si="2"/>
        <v>Standard time to target condition applied</v>
      </c>
      <c r="S24" s="383">
        <f t="shared" si="3"/>
        <v>15</v>
      </c>
      <c r="T24" s="384">
        <f>IFERROR(IF(S24="Check Data ⚠","Check Data ⚠",VLOOKUP(S24,'G-4 Temporal multipliers'!$A$4:$C$37,3,FALSE)),"")</f>
        <v>0.58601630550000006</v>
      </c>
      <c r="U24" s="385" t="str">
        <f>IF(F24="","",VLOOKUP(F24,'G-3 Multipliers'!$A$2:$E$134,2,FALSE))</f>
        <v>Low</v>
      </c>
      <c r="V24" s="382" t="str">
        <f t="shared" si="5"/>
        <v>Standard difficulty applied</v>
      </c>
      <c r="W24" s="382" t="str">
        <f>IF(E24="","",IF(AND(V24="Standard difficulty applied",O24&gt;P24),U24,IF(AND(V24="Low Difficulty - only applicable if all habitat created before losses",P24&gt;=O24),"Low",VLOOKUP(F24,'G-3 Multipliers'!$A$2:$E$134,4,FALSE))))</f>
        <v>Low</v>
      </c>
      <c r="X24" s="386">
        <f>IFERROR(IF(E24="","",VLOOKUP(W24, 'G-3 Multipliers'!$P$2:$Q$6,2,FALSE)),"")</f>
        <v>1</v>
      </c>
      <c r="Y24" s="390">
        <f t="shared" si="4"/>
        <v>19.617837664847094</v>
      </c>
      <c r="Z24" s="194"/>
      <c r="AA24" s="195"/>
      <c r="AB24" s="120"/>
      <c r="AE24" s="40">
        <f t="shared" si="0"/>
        <v>5</v>
      </c>
    </row>
    <row r="25" spans="1:31" ht="42.75" x14ac:dyDescent="0.2">
      <c r="A25" s="35" t="str">
        <f>IFERROR(INDEX('G-8 Condition Look up'!$I$4:$I$135,MATCH(F25,'G-8 Condition Look up'!$A$4:$A$135,0)),"")</f>
        <v>Cond1</v>
      </c>
      <c r="C25" s="299" t="str">
        <f>IFERROR(INDEX('G-1 All Habitats'!$AG$3:$AG$17,MATCH(D25,'G-1 All Habitats'!$AF$3:$AF$17,0)),"")</f>
        <v>Cropland</v>
      </c>
      <c r="D25" s="54" t="s">
        <v>124</v>
      </c>
      <c r="E25" s="61" t="s">
        <v>484</v>
      </c>
      <c r="F25" s="296" t="str">
        <f>IFERROR(INDEX('G-1 All Habitats'!$B$3:$B$134,MATCH(E25,'G-1 All Habitats'!$A$3:$A$134,0)),"")</f>
        <v>Cropland - Cereal crops</v>
      </c>
      <c r="G25" s="53">
        <v>2.2615723819847961E-3</v>
      </c>
      <c r="H25" s="362" t="str">
        <f>IF(F25="","",VLOOKUP(F25,'G-1 All Habitats'!$B$2:$M$134,10,FALSE))</f>
        <v>Low</v>
      </c>
      <c r="I25" s="363">
        <f>IFERROR(VLOOKUP(H25,'G-1 All Habitats'!$V$3:$W$7,2,FALSE),"")</f>
        <v>2</v>
      </c>
      <c r="J25" s="54" t="s">
        <v>493</v>
      </c>
      <c r="K25" s="363">
        <f>IFERROR(INDEX('G-8 Condition Look up'!$A$3:$H$135,MATCH(F25,'G-8 Condition Look up'!$A$3:$A$135,0),MATCH(J25,'G-8 Condition Look up'!$A$3:$H$3,0)),"")</f>
        <v>1</v>
      </c>
      <c r="L25" s="54" t="s">
        <v>1029</v>
      </c>
      <c r="M25" s="370" t="str">
        <f>IF(L25="","",IF(VLOOKUP(L25,'G-3 Multipliers'!$L$3:$N$6,2,FALSE)=0,"Spatial Data Missing",VLOOKUP(L25,'G-3 Multipliers'!$L$3:$N$6,2,FALSE)))</f>
        <v xml:space="preserve">High strategic significance </v>
      </c>
      <c r="N25" s="368">
        <f>IF(L25="","",IF(VLOOKUP(L25,'G-3 Multipliers'!$L$3:$N$6,3,FALSE)=0,"Spatial Data Missing",VLOOKUP(L25,'G-3 Multipliers'!$L$3:$N$6,3,FALSE)))</f>
        <v>1.1499999999999999</v>
      </c>
      <c r="O25" s="362">
        <f t="shared" si="1"/>
        <v>1</v>
      </c>
      <c r="P25" s="63">
        <v>0</v>
      </c>
      <c r="Q25" s="63">
        <v>0</v>
      </c>
      <c r="R25" s="370" t="str">
        <f t="shared" si="2"/>
        <v>Standard time to target condition applied</v>
      </c>
      <c r="S25" s="383">
        <f t="shared" si="3"/>
        <v>1</v>
      </c>
      <c r="T25" s="384">
        <f>IFERROR(IF(S25="Check Data ⚠","Check Data ⚠",VLOOKUP(S25,'G-4 Temporal multipliers'!$A$4:$C$37,3,FALSE)),"")</f>
        <v>0.96499999999999997</v>
      </c>
      <c r="U25" s="385" t="str">
        <f>IF(F25="","",VLOOKUP(F25,'G-3 Multipliers'!$A$2:$E$134,2,FALSE))</f>
        <v>Low</v>
      </c>
      <c r="V25" s="382" t="str">
        <f t="shared" si="5"/>
        <v>Standard difficulty applied</v>
      </c>
      <c r="W25" s="382" t="str">
        <f>IF(E25="","",IF(AND(V25="Standard difficulty applied",O25&gt;P25),U25,IF(AND(V25="Low Difficulty - only applicable if all habitat created before losses",P25&gt;=O25),"Low",VLOOKUP(F25,'G-3 Multipliers'!$A$2:$E$134,4,FALSE))))</f>
        <v>Low</v>
      </c>
      <c r="X25" s="386">
        <f>IFERROR(IF(E25="","",VLOOKUP(W25, 'G-3 Multipliers'!$P$2:$Q$6,2,FALSE)),"")</f>
        <v>1</v>
      </c>
      <c r="Y25" s="390">
        <f t="shared" si="4"/>
        <v>5.0195599018152542E-3</v>
      </c>
      <c r="Z25" s="194" t="s">
        <v>1686</v>
      </c>
      <c r="AA25" s="195"/>
      <c r="AB25" s="120"/>
      <c r="AE25" s="40" t="str">
        <f t="shared" si="0"/>
        <v>Not Possible</v>
      </c>
    </row>
    <row r="26" spans="1:31" ht="42.75" x14ac:dyDescent="0.2">
      <c r="A26" s="35" t="str">
        <f>IFERROR(INDEX('G-8 Condition Look up'!$I$4:$I$135,MATCH(F26,'G-8 Condition Look up'!$A$4:$A$135,0)),"")</f>
        <v>Cond4</v>
      </c>
      <c r="C26" s="299" t="str">
        <f>IFERROR(INDEX('G-1 All Habitats'!$AG$3:$AG$17,MATCH(D26,'G-1 All Habitats'!$AF$3:$AF$17,0)),"")</f>
        <v>Grassland</v>
      </c>
      <c r="D26" s="54" t="s">
        <v>125</v>
      </c>
      <c r="E26" s="61" t="s">
        <v>518</v>
      </c>
      <c r="F26" s="296" t="str">
        <f>IFERROR(INDEX('G-1 All Habitats'!$B$3:$B$134,MATCH(E26,'G-1 All Habitats'!$A$3:$A$134,0)),"")</f>
        <v>Grassland - Floodplain wetland mosaic and CFGM</v>
      </c>
      <c r="G26" s="53">
        <v>84.817603036675251</v>
      </c>
      <c r="H26" s="362" t="str">
        <f>IF(F26="","",VLOOKUP(F26,'G-1 All Habitats'!$B$2:$M$134,10,FALSE))</f>
        <v>High</v>
      </c>
      <c r="I26" s="363">
        <f>IFERROR(VLOOKUP(H26,'G-1 All Habitats'!$V$3:$W$7,2,FALSE),"")</f>
        <v>6</v>
      </c>
      <c r="J26" s="54" t="s">
        <v>68</v>
      </c>
      <c r="K26" s="363">
        <f>IFERROR(INDEX('G-8 Condition Look up'!$A$3:$H$135,MATCH(F26,'G-8 Condition Look up'!$A$3:$A$135,0),MATCH(J26,'G-8 Condition Look up'!$A$3:$H$3,0)),"")</f>
        <v>3</v>
      </c>
      <c r="L26" s="54" t="s">
        <v>1029</v>
      </c>
      <c r="M26" s="370" t="str">
        <f>IF(L26="","",IF(VLOOKUP(L26,'G-3 Multipliers'!$L$3:$N$6,2,FALSE)=0,"Spatial Data Missing",VLOOKUP(L26,'G-3 Multipliers'!$L$3:$N$6,2,FALSE)))</f>
        <v xml:space="preserve">High strategic significance </v>
      </c>
      <c r="N26" s="368">
        <f>IF(L26="","",IF(VLOOKUP(L26,'G-3 Multipliers'!$L$3:$N$6,3,FALSE)=0,"Spatial Data Missing",VLOOKUP(L26,'G-3 Multipliers'!$L$3:$N$6,3,FALSE)))</f>
        <v>1.1499999999999999</v>
      </c>
      <c r="O26" s="362">
        <f t="shared" si="1"/>
        <v>20</v>
      </c>
      <c r="P26" s="63">
        <v>0</v>
      </c>
      <c r="Q26" s="63">
        <v>0</v>
      </c>
      <c r="R26" s="370" t="str">
        <f t="shared" si="2"/>
        <v>Standard time to target condition applied</v>
      </c>
      <c r="S26" s="383">
        <f t="shared" si="3"/>
        <v>20</v>
      </c>
      <c r="T26" s="384">
        <f>IFERROR(IF(S26="Check Data ⚠","Check Data ⚠",VLOOKUP(S26,'G-4 Temporal multipliers'!$A$4:$C$37,3,FALSE)),"")</f>
        <v>0.49039526350000001</v>
      </c>
      <c r="U26" s="385" t="str">
        <f>IF(F26="","",VLOOKUP(F26,'G-3 Multipliers'!$A$2:$E$134,2,FALSE))</f>
        <v>High</v>
      </c>
      <c r="V26" s="382" t="str">
        <f t="shared" si="5"/>
        <v>Standard difficulty applied</v>
      </c>
      <c r="W26" s="382" t="str">
        <f>IF(E26="","",IF(AND(V26="Standard difficulty applied",O26&gt;P26),U26,IF(AND(V26="Low Difficulty - only applicable if all habitat created before losses",P26&gt;=O26),"Low",VLOOKUP(F26,'G-3 Multipliers'!$A$2:$E$134,4,FALSE))))</f>
        <v>High</v>
      </c>
      <c r="X26" s="386">
        <f>IFERROR(IF(E26="","",VLOOKUP(W26, 'G-3 Multipliers'!$P$2:$Q$6,2,FALSE)),"")</f>
        <v>0.33</v>
      </c>
      <c r="Y26" s="390">
        <f t="shared" si="4"/>
        <v>284.12964405064844</v>
      </c>
      <c r="Z26" s="194"/>
      <c r="AA26" s="195"/>
      <c r="AB26" s="120"/>
      <c r="AE26" s="40">
        <f t="shared" si="0"/>
        <v>5</v>
      </c>
    </row>
    <row r="27" spans="1:31" ht="28.5" x14ac:dyDescent="0.2">
      <c r="A27" s="35" t="str">
        <f>IFERROR(INDEX('G-8 Condition Look up'!$I$4:$I$135,MATCH(F27,'G-8 Condition Look up'!$A$4:$A$135,0)),"")</f>
        <v>Cond4</v>
      </c>
      <c r="C27" s="299" t="str">
        <f>IFERROR(INDEX('G-1 All Habitats'!$AG$3:$AG$17,MATCH(D27,'G-1 All Habitats'!$AF$3:$AF$17,0)),"")</f>
        <v>Grassland</v>
      </c>
      <c r="D27" s="54" t="s">
        <v>125</v>
      </c>
      <c r="E27" s="61" t="s">
        <v>540</v>
      </c>
      <c r="F27" s="296" t="str">
        <f>IFERROR(INDEX('G-1 All Habitats'!$B$3:$B$134,MATCH(E27,'G-1 All Habitats'!$A$3:$A$134,0)),"")</f>
        <v>Grassland - Modified grassland</v>
      </c>
      <c r="G27" s="53">
        <v>11.282474551442762</v>
      </c>
      <c r="H27" s="362" t="str">
        <f>IF(F27="","",VLOOKUP(F27,'G-1 All Habitats'!$B$2:$M$134,10,FALSE))</f>
        <v>Low</v>
      </c>
      <c r="I27" s="363">
        <f>IFERROR(VLOOKUP(H27,'G-1 All Habitats'!$V$3:$W$7,2,FALSE),"")</f>
        <v>2</v>
      </c>
      <c r="J27" s="54" t="s">
        <v>68</v>
      </c>
      <c r="K27" s="363">
        <f>IFERROR(INDEX('G-8 Condition Look up'!$A$3:$H$135,MATCH(F27,'G-8 Condition Look up'!$A$3:$A$135,0),MATCH(J27,'G-8 Condition Look up'!$A$3:$H$3,0)),"")</f>
        <v>3</v>
      </c>
      <c r="L27" s="54" t="s">
        <v>1029</v>
      </c>
      <c r="M27" s="370" t="str">
        <f>IF(L27="","",IF(VLOOKUP(L27,'G-3 Multipliers'!$L$3:$N$6,2,FALSE)=0,"Spatial Data Missing",VLOOKUP(L27,'G-3 Multipliers'!$L$3:$N$6,2,FALSE)))</f>
        <v xml:space="preserve">High strategic significance </v>
      </c>
      <c r="N27" s="368">
        <f>IF(L27="","",IF(VLOOKUP(L27,'G-3 Multipliers'!$L$3:$N$6,3,FALSE)=0,"Spatial Data Missing",VLOOKUP(L27,'G-3 Multipliers'!$L$3:$N$6,3,FALSE)))</f>
        <v>1.1499999999999999</v>
      </c>
      <c r="O27" s="362">
        <f t="shared" si="1"/>
        <v>7</v>
      </c>
      <c r="P27" s="63">
        <v>0</v>
      </c>
      <c r="Q27" s="63">
        <v>0</v>
      </c>
      <c r="R27" s="370" t="str">
        <f t="shared" si="2"/>
        <v>Standard time to target condition applied</v>
      </c>
      <c r="S27" s="383">
        <f t="shared" si="3"/>
        <v>7</v>
      </c>
      <c r="T27" s="384">
        <f>IFERROR(IF(S27="Check Data ⚠","Check Data ⚠",VLOOKUP(S27,'G-4 Temporal multipliers'!$A$4:$C$37,3,FALSE)),"")</f>
        <v>0.77927580669999996</v>
      </c>
      <c r="U27" s="385" t="str">
        <f>IF(F27="","",VLOOKUP(F27,'G-3 Multipliers'!$A$2:$E$134,2,FALSE))</f>
        <v>Low</v>
      </c>
      <c r="V27" s="382" t="str">
        <f t="shared" si="5"/>
        <v>Standard difficulty applied</v>
      </c>
      <c r="W27" s="382" t="str">
        <f>IF(E27="","",IF(AND(V27="Standard difficulty applied",O27&gt;P27),U27,IF(AND(V27="Low Difficulty - only applicable if all habitat created before losses",P27&gt;=O27),"Low",VLOOKUP(F27,'G-3 Multipliers'!$A$2:$E$134,4,FALSE))))</f>
        <v>Low</v>
      </c>
      <c r="X27" s="386">
        <f>IFERROR(IF(E27="","",VLOOKUP(W27, 'G-3 Multipliers'!$P$2:$Q$6,2,FALSE)),"")</f>
        <v>1</v>
      </c>
      <c r="Y27" s="390">
        <f t="shared" si="4"/>
        <v>60.665900257769678</v>
      </c>
      <c r="Z27" s="194"/>
      <c r="AA27" s="195"/>
      <c r="AB27" s="120"/>
      <c r="AE27" s="40">
        <f t="shared" si="0"/>
        <v>1</v>
      </c>
    </row>
    <row r="28" spans="1:31" ht="28.5" x14ac:dyDescent="0.2">
      <c r="A28" s="35" t="str">
        <f>IFERROR(INDEX('G-8 Condition Look up'!$I$4:$I$135,MATCH(F28,'G-8 Condition Look up'!$A$4:$A$135,0)),"")</f>
        <v>Cond4</v>
      </c>
      <c r="C28" s="299" t="str">
        <f>IFERROR(INDEX('G-1 All Habitats'!$AG$3:$AG$17,MATCH(D28,'G-1 All Habitats'!$AF$3:$AF$17,0)),"")</f>
        <v>Grassland</v>
      </c>
      <c r="D28" s="54" t="s">
        <v>125</v>
      </c>
      <c r="E28" s="61" t="s">
        <v>540</v>
      </c>
      <c r="F28" s="296" t="str">
        <f>IFERROR(INDEX('G-1 All Habitats'!$B$3:$B$134,MATCH(E28,'G-1 All Habitats'!$A$3:$A$134,0)),"")</f>
        <v>Grassland - Modified grassland</v>
      </c>
      <c r="G28" s="53">
        <v>11.589113505386223</v>
      </c>
      <c r="H28" s="362" t="str">
        <f>IF(F28="","",VLOOKUP(F28,'G-1 All Habitats'!$B$2:$M$134,10,FALSE))</f>
        <v>Low</v>
      </c>
      <c r="I28" s="363">
        <f>IFERROR(VLOOKUP(H28,'G-1 All Habitats'!$V$3:$W$7,2,FALSE),"")</f>
        <v>2</v>
      </c>
      <c r="J28" s="54" t="s">
        <v>329</v>
      </c>
      <c r="K28" s="363">
        <f>IFERROR(INDEX('G-8 Condition Look up'!$A$3:$H$135,MATCH(F28,'G-8 Condition Look up'!$A$3:$A$135,0),MATCH(J28,'G-8 Condition Look up'!$A$3:$H$3,0)),"")</f>
        <v>1</v>
      </c>
      <c r="L28" s="54" t="s">
        <v>1029</v>
      </c>
      <c r="M28" s="370" t="str">
        <f>IF(L28="","",IF(VLOOKUP(L28,'G-3 Multipliers'!$L$3:$N$6,2,FALSE)=0,"Spatial Data Missing",VLOOKUP(L28,'G-3 Multipliers'!$L$3:$N$6,2,FALSE)))</f>
        <v xml:space="preserve">High strategic significance </v>
      </c>
      <c r="N28" s="368">
        <f>IF(L28="","",IF(VLOOKUP(L28,'G-3 Multipliers'!$L$3:$N$6,3,FALSE)=0,"Spatial Data Missing",VLOOKUP(L28,'G-3 Multipliers'!$L$3:$N$6,3,FALSE)))</f>
        <v>1.1499999999999999</v>
      </c>
      <c r="O28" s="362">
        <f t="shared" si="1"/>
        <v>1</v>
      </c>
      <c r="P28" s="63">
        <v>0</v>
      </c>
      <c r="Q28" s="63">
        <v>0</v>
      </c>
      <c r="R28" s="370" t="str">
        <f t="shared" si="2"/>
        <v>Standard time to target condition applied</v>
      </c>
      <c r="S28" s="383">
        <f t="shared" si="3"/>
        <v>1</v>
      </c>
      <c r="T28" s="384">
        <f>IFERROR(IF(S28="Check Data ⚠","Check Data ⚠",VLOOKUP(S28,'G-4 Temporal multipliers'!$A$4:$C$37,3,FALSE)),"")</f>
        <v>0.96499999999999997</v>
      </c>
      <c r="U28" s="385" t="str">
        <f>IF(F28="","",VLOOKUP(F28,'G-3 Multipliers'!$A$2:$E$134,2,FALSE))</f>
        <v>Low</v>
      </c>
      <c r="V28" s="382" t="str">
        <f t="shared" si="5"/>
        <v>Standard difficulty applied</v>
      </c>
      <c r="W28" s="382" t="str">
        <f>IF(E28="","",IF(AND(V28="Standard difficulty applied",O28&gt;P28),U28,IF(AND(V28="Low Difficulty - only applicable if all habitat created before losses",P28&gt;=O28),"Low",VLOOKUP(F28,'G-3 Multipliers'!$A$2:$E$134,4,FALSE))))</f>
        <v>Low</v>
      </c>
      <c r="X28" s="386">
        <f>IFERROR(IF(E28="","",VLOOKUP(W28, 'G-3 Multipliers'!$P$2:$Q$6,2,FALSE)),"")</f>
        <v>1</v>
      </c>
      <c r="Y28" s="390">
        <f t="shared" si="4"/>
        <v>25.722037425204718</v>
      </c>
      <c r="Z28" s="194"/>
      <c r="AA28" s="195"/>
      <c r="AB28" s="120"/>
      <c r="AE28" s="40">
        <f t="shared" si="0"/>
        <v>1</v>
      </c>
    </row>
    <row r="29" spans="1:31" ht="28.5" x14ac:dyDescent="0.2">
      <c r="A29" s="35" t="str">
        <f>IFERROR(INDEX('G-8 Condition Look up'!$I$4:$I$135,MATCH(F29,'G-8 Condition Look up'!$A$4:$A$135,0)),"")</f>
        <v>Cond4</v>
      </c>
      <c r="C29" s="299" t="str">
        <f>IFERROR(INDEX('G-1 All Habitats'!$AG$3:$AG$17,MATCH(D29,'G-1 All Habitats'!$AF$3:$AF$17,0)),"")</f>
        <v>Grassland</v>
      </c>
      <c r="D29" s="54" t="s">
        <v>125</v>
      </c>
      <c r="E29" s="61" t="s">
        <v>547</v>
      </c>
      <c r="F29" s="296" t="str">
        <f>IFERROR(INDEX('G-1 All Habitats'!$B$3:$B$134,MATCH(E29,'G-1 All Habitats'!$A$3:$A$134,0)),"")</f>
        <v>Grassland - Other neutral grassland</v>
      </c>
      <c r="G29" s="53">
        <v>2.1104166195999667</v>
      </c>
      <c r="H29" s="362" t="str">
        <f>IF(F29="","",VLOOKUP(F29,'G-1 All Habitats'!$B$2:$M$134,10,FALSE))</f>
        <v>Medium</v>
      </c>
      <c r="I29" s="363">
        <f>IFERROR(VLOOKUP(H29,'G-1 All Habitats'!$V$3:$W$7,2,FALSE),"")</f>
        <v>4</v>
      </c>
      <c r="J29" s="54" t="s">
        <v>68</v>
      </c>
      <c r="K29" s="363">
        <f>IFERROR(INDEX('G-8 Condition Look up'!$A$3:$H$135,MATCH(F29,'G-8 Condition Look up'!$A$3:$A$135,0),MATCH(J29,'G-8 Condition Look up'!$A$3:$H$3,0)),"")</f>
        <v>3</v>
      </c>
      <c r="L29" s="54" t="s">
        <v>1029</v>
      </c>
      <c r="M29" s="370" t="str">
        <f>IF(L29="","",IF(VLOOKUP(L29,'G-3 Multipliers'!$L$3:$N$6,2,FALSE)=0,"Spatial Data Missing",VLOOKUP(L29,'G-3 Multipliers'!$L$3:$N$6,2,FALSE)))</f>
        <v xml:space="preserve">High strategic significance </v>
      </c>
      <c r="N29" s="368">
        <f>IF(L29="","",IF(VLOOKUP(L29,'G-3 Multipliers'!$L$3:$N$6,3,FALSE)=0,"Spatial Data Missing",VLOOKUP(L29,'G-3 Multipliers'!$L$3:$N$6,3,FALSE)))</f>
        <v>1.1499999999999999</v>
      </c>
      <c r="O29" s="362">
        <f t="shared" si="1"/>
        <v>10</v>
      </c>
      <c r="P29" s="63">
        <v>0</v>
      </c>
      <c r="Q29" s="63">
        <v>0</v>
      </c>
      <c r="R29" s="370" t="str">
        <f t="shared" si="2"/>
        <v>Standard time to target condition applied</v>
      </c>
      <c r="S29" s="383">
        <f t="shared" si="3"/>
        <v>10</v>
      </c>
      <c r="T29" s="384">
        <f>IFERROR(IF(S29="Check Data ⚠","Check Data ⚠",VLOOKUP(S29,'G-4 Temporal multipliers'!$A$4:$C$37,3,FALSE)),"")</f>
        <v>0.70028227419999989</v>
      </c>
      <c r="U29" s="385" t="str">
        <f>IF(F29="","",VLOOKUP(F29,'G-3 Multipliers'!$A$2:$E$134,2,FALSE))</f>
        <v>Low</v>
      </c>
      <c r="V29" s="382" t="str">
        <f t="shared" si="5"/>
        <v>Standard difficulty applied</v>
      </c>
      <c r="W29" s="382" t="str">
        <f>IF(E29="","",IF(AND(V29="Standard difficulty applied",O29&gt;P29),U29,IF(AND(V29="Low Difficulty - only applicable if all habitat created before losses",P29&gt;=O29),"Low",VLOOKUP(F29,'G-3 Multipliers'!$A$2:$E$134,4,FALSE))))</f>
        <v>Low</v>
      </c>
      <c r="X29" s="386">
        <f>IFERROR(IF(E29="","",VLOOKUP(W29, 'G-3 Multipliers'!$P$2:$Q$6,2,FALSE)),"")</f>
        <v>1</v>
      </c>
      <c r="Y29" s="390">
        <f t="shared" si="4"/>
        <v>20.394845428384581</v>
      </c>
      <c r="Z29" s="194"/>
      <c r="AA29" s="195"/>
      <c r="AB29" s="120"/>
      <c r="AE29" s="40">
        <f t="shared" si="0"/>
        <v>2</v>
      </c>
    </row>
    <row r="30" spans="1:31" ht="28.5" x14ac:dyDescent="0.2">
      <c r="A30" s="35" t="str">
        <f>IFERROR(INDEX('G-8 Condition Look up'!$I$4:$I$135,MATCH(F30,'G-8 Condition Look up'!$A$4:$A$135,0)),"")</f>
        <v>Cond4</v>
      </c>
      <c r="C30" s="299" t="str">
        <f>IFERROR(INDEX('G-1 All Habitats'!$AG$3:$AG$17,MATCH(D30,'G-1 All Habitats'!$AF$3:$AF$17,0)),"")</f>
        <v>Grassland</v>
      </c>
      <c r="D30" s="54" t="s">
        <v>125</v>
      </c>
      <c r="E30" s="61" t="s">
        <v>547</v>
      </c>
      <c r="F30" s="296" t="str">
        <f>IFERROR(INDEX('G-1 All Habitats'!$B$3:$B$134,MATCH(E30,'G-1 All Habitats'!$A$3:$A$134,0)),"")</f>
        <v>Grassland - Other neutral grassland</v>
      </c>
      <c r="G30" s="53">
        <v>23.592733963384362</v>
      </c>
      <c r="H30" s="362" t="str">
        <f>IF(F30="","",VLOOKUP(F30,'G-1 All Habitats'!$B$2:$M$134,10,FALSE))</f>
        <v>Medium</v>
      </c>
      <c r="I30" s="363">
        <f>IFERROR(VLOOKUP(H30,'G-1 All Habitats'!$V$3:$W$7,2,FALSE),"")</f>
        <v>4</v>
      </c>
      <c r="J30" s="54" t="s">
        <v>68</v>
      </c>
      <c r="K30" s="363">
        <f>IFERROR(INDEX('G-8 Condition Look up'!$A$3:$H$135,MATCH(F30,'G-8 Condition Look up'!$A$3:$A$135,0),MATCH(J30,'G-8 Condition Look up'!$A$3:$H$3,0)),"")</f>
        <v>3</v>
      </c>
      <c r="L30" s="54" t="s">
        <v>1029</v>
      </c>
      <c r="M30" s="370" t="str">
        <f>IF(L30="","",IF(VLOOKUP(L30,'G-3 Multipliers'!$L$3:$N$6,2,FALSE)=0,"Spatial Data Missing",VLOOKUP(L30,'G-3 Multipliers'!$L$3:$N$6,2,FALSE)))</f>
        <v xml:space="preserve">High strategic significance </v>
      </c>
      <c r="N30" s="368">
        <f>IF(L30="","",IF(VLOOKUP(L30,'G-3 Multipliers'!$L$3:$N$6,3,FALSE)=0,"Spatial Data Missing",VLOOKUP(L30,'G-3 Multipliers'!$L$3:$N$6,3,FALSE)))</f>
        <v>1.1499999999999999</v>
      </c>
      <c r="O30" s="362">
        <f t="shared" si="1"/>
        <v>10</v>
      </c>
      <c r="P30" s="63">
        <v>0</v>
      </c>
      <c r="Q30" s="63">
        <v>0</v>
      </c>
      <c r="R30" s="370" t="str">
        <f t="shared" si="2"/>
        <v>Standard time to target condition applied</v>
      </c>
      <c r="S30" s="383">
        <f t="shared" si="3"/>
        <v>10</v>
      </c>
      <c r="T30" s="384">
        <f>IFERROR(IF(S30="Check Data ⚠","Check Data ⚠",VLOOKUP(S30,'G-4 Temporal multipliers'!$A$4:$C$37,3,FALSE)),"")</f>
        <v>0.70028227419999989</v>
      </c>
      <c r="U30" s="385" t="str">
        <f>IF(F30="","",VLOOKUP(F30,'G-3 Multipliers'!$A$2:$E$134,2,FALSE))</f>
        <v>Low</v>
      </c>
      <c r="V30" s="382" t="str">
        <f t="shared" si="5"/>
        <v>Standard difficulty applied</v>
      </c>
      <c r="W30" s="382" t="str">
        <f>IF(E30="","",IF(AND(V30="Standard difficulty applied",O30&gt;P30),U30,IF(AND(V30="Low Difficulty - only applicable if all habitat created before losses",P30&gt;=O30),"Low",VLOOKUP(F30,'G-3 Multipliers'!$A$2:$E$134,4,FALSE))))</f>
        <v>Low</v>
      </c>
      <c r="X30" s="386">
        <f>IFERROR(IF(E30="","",VLOOKUP(W30, 'G-3 Multipliers'!$P$2:$Q$6,2,FALSE)),"")</f>
        <v>1</v>
      </c>
      <c r="Y30" s="390">
        <f t="shared" si="4"/>
        <v>227.9977128437464</v>
      </c>
      <c r="Z30" s="194"/>
      <c r="AA30" s="195"/>
      <c r="AB30" s="120"/>
      <c r="AE30" s="40">
        <f t="shared" si="0"/>
        <v>2</v>
      </c>
    </row>
    <row r="31" spans="1:31" ht="28.5" x14ac:dyDescent="0.2">
      <c r="A31" s="35" t="str">
        <f>IFERROR(INDEX('G-8 Condition Look up'!$I$4:$I$135,MATCH(F31,'G-8 Condition Look up'!$A$4:$A$135,0)),"")</f>
        <v>Cond4</v>
      </c>
      <c r="C31" s="299" t="str">
        <f>IFERROR(INDEX('G-1 All Habitats'!$AG$3:$AG$17,MATCH(D31,'G-1 All Habitats'!$AF$3:$AF$17,0)),"")</f>
        <v>Heathland_and_shrub</v>
      </c>
      <c r="D31" s="54" t="s">
        <v>126</v>
      </c>
      <c r="E31" s="61" t="s">
        <v>589</v>
      </c>
      <c r="F31" s="296" t="str">
        <f>IFERROR(INDEX('G-1 All Habitats'!$B$3:$B$134,MATCH(E31,'G-1 All Habitats'!$A$3:$A$134,0)),"")</f>
        <v>Heathland and shrub - Mixed scrub</v>
      </c>
      <c r="G31" s="53">
        <v>0.31033340187362851</v>
      </c>
      <c r="H31" s="362" t="str">
        <f>IF(F31="","",VLOOKUP(F31,'G-1 All Habitats'!$B$2:$M$134,10,FALSE))</f>
        <v>Medium</v>
      </c>
      <c r="I31" s="363">
        <f>IFERROR(VLOOKUP(H31,'G-1 All Habitats'!$V$3:$W$7,2,FALSE),"")</f>
        <v>4</v>
      </c>
      <c r="J31" s="54" t="s">
        <v>67</v>
      </c>
      <c r="K31" s="363">
        <f>IFERROR(INDEX('G-8 Condition Look up'!$A$3:$H$135,MATCH(F31,'G-8 Condition Look up'!$A$3:$A$135,0),MATCH(J31,'G-8 Condition Look up'!$A$3:$H$3,0)),"")</f>
        <v>2</v>
      </c>
      <c r="L31" s="54" t="s">
        <v>1029</v>
      </c>
      <c r="M31" s="370" t="str">
        <f>IF(L31="","",IF(VLOOKUP(L31,'G-3 Multipliers'!$L$3:$N$6,2,FALSE)=0,"Spatial Data Missing",VLOOKUP(L31,'G-3 Multipliers'!$L$3:$N$6,2,FALSE)))</f>
        <v xml:space="preserve">High strategic significance </v>
      </c>
      <c r="N31" s="368">
        <f>IF(L31="","",IF(VLOOKUP(L31,'G-3 Multipliers'!$L$3:$N$6,3,FALSE)=0,"Spatial Data Missing",VLOOKUP(L31,'G-3 Multipliers'!$L$3:$N$6,3,FALSE)))</f>
        <v>1.1499999999999999</v>
      </c>
      <c r="O31" s="362">
        <f t="shared" si="1"/>
        <v>5</v>
      </c>
      <c r="P31" s="63">
        <v>0</v>
      </c>
      <c r="Q31" s="63">
        <v>0</v>
      </c>
      <c r="R31" s="370" t="str">
        <f t="shared" si="2"/>
        <v>Standard time to target condition applied</v>
      </c>
      <c r="S31" s="383">
        <f t="shared" si="3"/>
        <v>5</v>
      </c>
      <c r="T31" s="384">
        <f>IFERROR(IF(S31="Check Data ⚠","Check Data ⚠",VLOOKUP(S31,'G-4 Temporal multipliers'!$A$4:$C$37,3,FALSE)),"")</f>
        <v>0.83682870060000003</v>
      </c>
      <c r="U31" s="385" t="str">
        <f>IF(F31="","",VLOOKUP(F31,'G-3 Multipliers'!$A$2:$E$134,2,FALSE))</f>
        <v>Low</v>
      </c>
      <c r="V31" s="382" t="str">
        <f t="shared" si="5"/>
        <v>Standard difficulty applied</v>
      </c>
      <c r="W31" s="382" t="str">
        <f>IF(E31="","",IF(AND(V31="Standard difficulty applied",O31&gt;P31),U31,IF(AND(V31="Low Difficulty - only applicable if all habitat created before losses",P31&gt;=O31),"Low",VLOOKUP(F31,'G-3 Multipliers'!$A$2:$E$134,4,FALSE))))</f>
        <v>Low</v>
      </c>
      <c r="X31" s="386">
        <f>IFERROR(IF(E31="","",VLOOKUP(W31, 'G-3 Multipliers'!$P$2:$Q$6,2,FALSE)),"")</f>
        <v>1</v>
      </c>
      <c r="Y31" s="390">
        <f t="shared" si="4"/>
        <v>2.3892022564727129</v>
      </c>
      <c r="Z31" s="194"/>
      <c r="AA31" s="195"/>
      <c r="AB31" s="120"/>
      <c r="AE31" s="40">
        <f t="shared" si="0"/>
        <v>1</v>
      </c>
    </row>
    <row r="32" spans="1:31" ht="28.5" x14ac:dyDescent="0.2">
      <c r="A32" s="35" t="str">
        <f>IFERROR(INDEX('G-8 Condition Look up'!$I$4:$I$135,MATCH(F32,'G-8 Condition Look up'!$A$4:$A$135,0)),"")</f>
        <v>Cond4</v>
      </c>
      <c r="C32" s="299" t="str">
        <f>IFERROR(INDEX('G-1 All Habitats'!$AG$3:$AG$17,MATCH(D32,'G-1 All Habitats'!$AF$3:$AF$17,0)),"")</f>
        <v>Urban</v>
      </c>
      <c r="D32" s="54" t="s">
        <v>129</v>
      </c>
      <c r="E32" s="61" t="s">
        <v>684</v>
      </c>
      <c r="F32" s="296" t="str">
        <f>IFERROR(INDEX('G-1 All Habitats'!$B$3:$B$134,MATCH(E32,'G-1 All Habitats'!$A$3:$A$134,0)),"")</f>
        <v>Urban - Allotments</v>
      </c>
      <c r="G32" s="53">
        <v>12.375412044141475</v>
      </c>
      <c r="H32" s="362" t="str">
        <f>IF(F32="","",VLOOKUP(F32,'G-1 All Habitats'!$B$2:$M$134,10,FALSE))</f>
        <v>Low</v>
      </c>
      <c r="I32" s="363">
        <f>IFERROR(VLOOKUP(H32,'G-1 All Habitats'!$V$3:$W$7,2,FALSE),"")</f>
        <v>2</v>
      </c>
      <c r="J32" s="54" t="s">
        <v>67</v>
      </c>
      <c r="K32" s="363">
        <f>IFERROR(INDEX('G-8 Condition Look up'!$A$3:$H$135,MATCH(F32,'G-8 Condition Look up'!$A$3:$A$135,0),MATCH(J32,'G-8 Condition Look up'!$A$3:$H$3,0)),"")</f>
        <v>2</v>
      </c>
      <c r="L32" s="54" t="s">
        <v>1029</v>
      </c>
      <c r="M32" s="370" t="str">
        <f>IF(L32="","",IF(VLOOKUP(L32,'G-3 Multipliers'!$L$3:$N$6,2,FALSE)=0,"Spatial Data Missing",VLOOKUP(L32,'G-3 Multipliers'!$L$3:$N$6,2,FALSE)))</f>
        <v xml:space="preserve">High strategic significance </v>
      </c>
      <c r="N32" s="368">
        <f>IF(L32="","",IF(VLOOKUP(L32,'G-3 Multipliers'!$L$3:$N$6,3,FALSE)=0,"Spatial Data Missing",VLOOKUP(L32,'G-3 Multipliers'!$L$3:$N$6,3,FALSE)))</f>
        <v>1.1499999999999999</v>
      </c>
      <c r="O32" s="362">
        <f t="shared" si="1"/>
        <v>1</v>
      </c>
      <c r="P32" s="63">
        <v>0</v>
      </c>
      <c r="Q32" s="63">
        <v>0</v>
      </c>
      <c r="R32" s="370" t="str">
        <f t="shared" si="2"/>
        <v>Standard time to target condition applied</v>
      </c>
      <c r="S32" s="383">
        <f t="shared" si="3"/>
        <v>1</v>
      </c>
      <c r="T32" s="384">
        <f>IFERROR(IF(S32="Check Data ⚠","Check Data ⚠",VLOOKUP(S32,'G-4 Temporal multipliers'!$A$4:$C$37,3,FALSE)),"")</f>
        <v>0.96499999999999997</v>
      </c>
      <c r="U32" s="385" t="str">
        <f>IF(F32="","",VLOOKUP(F32,'G-3 Multipliers'!$A$2:$E$134,2,FALSE))</f>
        <v>Low</v>
      </c>
      <c r="V32" s="382" t="str">
        <f t="shared" si="5"/>
        <v>Standard difficulty applied</v>
      </c>
      <c r="W32" s="382" t="str">
        <f>IF(E32="","",IF(AND(V32="Standard difficulty applied",O32&gt;P32),U32,IF(AND(V32="Low Difficulty - only applicable if all habitat created before losses",P32&gt;=O32),"Low",VLOOKUP(F32,'G-3 Multipliers'!$A$2:$E$134,4,FALSE))))</f>
        <v>Low</v>
      </c>
      <c r="X32" s="386">
        <f>IFERROR(IF(E32="","",VLOOKUP(W32, 'G-3 Multipliers'!$P$2:$Q$6,2,FALSE)),"")</f>
        <v>1</v>
      </c>
      <c r="Y32" s="390">
        <f t="shared" si="4"/>
        <v>54.934454063944003</v>
      </c>
      <c r="Z32" s="194"/>
      <c r="AA32" s="195"/>
      <c r="AB32" s="120"/>
      <c r="AE32" s="40">
        <f t="shared" si="0"/>
        <v>1</v>
      </c>
    </row>
    <row r="33" spans="1:31" ht="42.75" x14ac:dyDescent="0.2">
      <c r="A33" s="35" t="str">
        <f>IFERROR(INDEX('G-8 Condition Look up'!$I$4:$I$135,MATCH(F33,'G-8 Condition Look up'!$A$4:$A$135,0)),"")</f>
        <v>Cond2</v>
      </c>
      <c r="C33" s="299" t="str">
        <f>IFERROR(INDEX('G-1 All Habitats'!$AG$3:$AG$17,MATCH(D33,'G-1 All Habitats'!$AF$3:$AF$17,0)),"")</f>
        <v>Urban</v>
      </c>
      <c r="D33" s="54" t="s">
        <v>129</v>
      </c>
      <c r="E33" s="61" t="s">
        <v>686</v>
      </c>
      <c r="F33" s="296" t="str">
        <f>IFERROR(INDEX('G-1 All Habitats'!$B$3:$B$134,MATCH(E33,'G-1 All Habitats'!$A$3:$A$134,0)),"")</f>
        <v>Urban - Artificial unvegetated, unsealed surface</v>
      </c>
      <c r="G33" s="53">
        <v>1.5126929246727203</v>
      </c>
      <c r="H33" s="362" t="str">
        <f>IF(F33="","",VLOOKUP(F33,'G-1 All Habitats'!$B$2:$M$134,10,FALSE))</f>
        <v>V.Low</v>
      </c>
      <c r="I33" s="363">
        <f>IFERROR(VLOOKUP(H33,'G-1 All Habitats'!$V$3:$W$7,2,FALSE),"")</f>
        <v>0</v>
      </c>
      <c r="J33" s="54" t="s">
        <v>497</v>
      </c>
      <c r="K33" s="363">
        <f>IFERROR(INDEX('G-8 Condition Look up'!$A$3:$H$135,MATCH(F33,'G-8 Condition Look up'!$A$3:$A$135,0),MATCH(J33,'G-8 Condition Look up'!$A$3:$H$3,0)),"")</f>
        <v>0</v>
      </c>
      <c r="L33" s="54" t="s">
        <v>1029</v>
      </c>
      <c r="M33" s="370" t="str">
        <f>IF(L33="","",IF(VLOOKUP(L33,'G-3 Multipliers'!$L$3:$N$6,2,FALSE)=0,"Spatial Data Missing",VLOOKUP(L33,'G-3 Multipliers'!$L$3:$N$6,2,FALSE)))</f>
        <v xml:space="preserve">High strategic significance </v>
      </c>
      <c r="N33" s="368">
        <f>IF(L33="","",IF(VLOOKUP(L33,'G-3 Multipliers'!$L$3:$N$6,3,FALSE)=0,"Spatial Data Missing",VLOOKUP(L33,'G-3 Multipliers'!$L$3:$N$6,3,FALSE)))</f>
        <v>1.1499999999999999</v>
      </c>
      <c r="O33" s="362">
        <f t="shared" si="1"/>
        <v>0</v>
      </c>
      <c r="P33" s="63">
        <v>0</v>
      </c>
      <c r="Q33" s="63">
        <v>0</v>
      </c>
      <c r="R33" s="370" t="str">
        <f t="shared" si="2"/>
        <v>Standard time to target condition applied</v>
      </c>
      <c r="S33" s="383">
        <f t="shared" si="3"/>
        <v>0</v>
      </c>
      <c r="T33" s="384">
        <f>IFERROR(IF(S33="Check Data ⚠","Check Data ⚠",VLOOKUP(S33,'G-4 Temporal multipliers'!$A$4:$C$37,3,FALSE)),"")</f>
        <v>1</v>
      </c>
      <c r="U33" s="385" t="str">
        <f>IF(F33="","",VLOOKUP(F33,'G-3 Multipliers'!$A$2:$E$134,2,FALSE))</f>
        <v>Low</v>
      </c>
      <c r="V33" s="382" t="str">
        <f t="shared" si="5"/>
        <v>Standard difficulty applied</v>
      </c>
      <c r="W33" s="382" t="str">
        <f>IF(E33="","",IF(AND(V33="Standard difficulty applied",O33&gt;P33),U33,IF(AND(V33="Low Difficulty - only applicable if all habitat created before losses",P33&gt;=O33),"Low",VLOOKUP(F33,'G-3 Multipliers'!$A$2:$E$134,4,FALSE))))</f>
        <v>Low</v>
      </c>
      <c r="X33" s="386">
        <f>IFERROR(IF(E33="","",VLOOKUP(W33, 'G-3 Multipliers'!$P$2:$Q$6,2,FALSE)),"")</f>
        <v>1</v>
      </c>
      <c r="Y33" s="390">
        <f t="shared" si="4"/>
        <v>0</v>
      </c>
      <c r="Z33" s="194"/>
      <c r="AA33" s="195"/>
      <c r="AB33" s="120"/>
      <c r="AE33" s="40" t="str">
        <f t="shared" si="0"/>
        <v>Not Possible</v>
      </c>
    </row>
    <row r="34" spans="1:31" ht="28.5" x14ac:dyDescent="0.2">
      <c r="A34" s="35" t="str">
        <f>IFERROR(INDEX('G-8 Condition Look up'!$I$4:$I$135,MATCH(F34,'G-8 Condition Look up'!$A$4:$A$135,0)),"")</f>
        <v>Cond2</v>
      </c>
      <c r="C34" s="299" t="str">
        <f>IFERROR(INDEX('G-1 All Habitats'!$AG$3:$AG$17,MATCH(D34,'G-1 All Habitats'!$AF$3:$AF$17,0)),"")</f>
        <v>Urban</v>
      </c>
      <c r="D34" s="54" t="s">
        <v>129</v>
      </c>
      <c r="E34" s="61" t="s">
        <v>699</v>
      </c>
      <c r="F34" s="296" t="str">
        <f>IFERROR(INDEX('G-1 All Habitats'!$B$3:$B$134,MATCH(E34,'G-1 All Habitats'!$A$3:$A$134,0)),"")</f>
        <v>Urban - Developed land; sealed surface</v>
      </c>
      <c r="G34" s="53">
        <v>7.2626768030073664E-3</v>
      </c>
      <c r="H34" s="362" t="str">
        <f>IF(F34="","",VLOOKUP(F34,'G-1 All Habitats'!$B$2:$M$134,10,FALSE))</f>
        <v>V.Low</v>
      </c>
      <c r="I34" s="363">
        <f>IFERROR(VLOOKUP(H34,'G-1 All Habitats'!$V$3:$W$7,2,FALSE),"")</f>
        <v>0</v>
      </c>
      <c r="J34" s="54" t="s">
        <v>497</v>
      </c>
      <c r="K34" s="363">
        <f>IFERROR(INDEX('G-8 Condition Look up'!$A$3:$H$135,MATCH(F34,'G-8 Condition Look up'!$A$3:$A$135,0),MATCH(J34,'G-8 Condition Look up'!$A$3:$H$3,0)),"")</f>
        <v>0</v>
      </c>
      <c r="L34" s="54" t="s">
        <v>1029</v>
      </c>
      <c r="M34" s="370" t="str">
        <f>IF(L34="","",IF(VLOOKUP(L34,'G-3 Multipliers'!$L$3:$N$6,2,FALSE)=0,"Spatial Data Missing",VLOOKUP(L34,'G-3 Multipliers'!$L$3:$N$6,2,FALSE)))</f>
        <v xml:space="preserve">High strategic significance </v>
      </c>
      <c r="N34" s="368">
        <f>IF(L34="","",IF(VLOOKUP(L34,'G-3 Multipliers'!$L$3:$N$6,3,FALSE)=0,"Spatial Data Missing",VLOOKUP(L34,'G-3 Multipliers'!$L$3:$N$6,3,FALSE)))</f>
        <v>1.1499999999999999</v>
      </c>
      <c r="O34" s="362">
        <f t="shared" si="1"/>
        <v>0</v>
      </c>
      <c r="P34" s="63">
        <v>0</v>
      </c>
      <c r="Q34" s="63">
        <v>0</v>
      </c>
      <c r="R34" s="370" t="str">
        <f t="shared" si="2"/>
        <v>Standard time to target condition applied</v>
      </c>
      <c r="S34" s="383">
        <f t="shared" si="3"/>
        <v>0</v>
      </c>
      <c r="T34" s="384">
        <f>IFERROR(IF(S34="Check Data ⚠","Check Data ⚠",VLOOKUP(S34,'G-4 Temporal multipliers'!$A$4:$C$37,3,FALSE)),"")</f>
        <v>1</v>
      </c>
      <c r="U34" s="385" t="str">
        <f>IF(F34="","",VLOOKUP(F34,'G-3 Multipliers'!$A$2:$E$134,2,FALSE))</f>
        <v>Low</v>
      </c>
      <c r="V34" s="382" t="str">
        <f t="shared" si="5"/>
        <v>Standard difficulty applied</v>
      </c>
      <c r="W34" s="382" t="str">
        <f>IF(E34="","",IF(AND(V34="Standard difficulty applied",O34&gt;P34),U34,IF(AND(V34="Low Difficulty - only applicable if all habitat created before losses",P34&gt;=O34),"Low",VLOOKUP(F34,'G-3 Multipliers'!$A$2:$E$134,4,FALSE))))</f>
        <v>Medium</v>
      </c>
      <c r="X34" s="386">
        <f>IFERROR(IF(E34="","",VLOOKUP(W34, 'G-3 Multipliers'!$P$2:$Q$6,2,FALSE)),"")</f>
        <v>0.67</v>
      </c>
      <c r="Y34" s="390">
        <f t="shared" si="4"/>
        <v>0</v>
      </c>
      <c r="Z34" s="194"/>
      <c r="AA34" s="195"/>
      <c r="AB34" s="120"/>
      <c r="AE34" s="40" t="str">
        <f t="shared" si="0"/>
        <v>Not Possible</v>
      </c>
    </row>
    <row r="35" spans="1:31" ht="28.5" x14ac:dyDescent="0.2">
      <c r="A35" s="35" t="str">
        <f>IFERROR(INDEX('G-8 Condition Look up'!$I$4:$I$135,MATCH(F35,'G-8 Condition Look up'!$A$4:$A$135,0)),"")</f>
        <v>Cond2</v>
      </c>
      <c r="C35" s="299" t="str">
        <f>IFERROR(INDEX('G-1 All Habitats'!$AG$3:$AG$17,MATCH(D35,'G-1 All Habitats'!$AF$3:$AF$17,0)),"")</f>
        <v>Urban</v>
      </c>
      <c r="D35" s="54" t="s">
        <v>129</v>
      </c>
      <c r="E35" s="61" t="s">
        <v>699</v>
      </c>
      <c r="F35" s="296" t="str">
        <f>IFERROR(INDEX('G-1 All Habitats'!$B$3:$B$134,MATCH(E35,'G-1 All Habitats'!$A$3:$A$134,0)),"")</f>
        <v>Urban - Developed land; sealed surface</v>
      </c>
      <c r="G35" s="53">
        <v>4.4427076423506975E-3</v>
      </c>
      <c r="H35" s="362" t="str">
        <f>IF(F35="","",VLOOKUP(F35,'G-1 All Habitats'!$B$2:$M$134,10,FALSE))</f>
        <v>V.Low</v>
      </c>
      <c r="I35" s="363">
        <f>IFERROR(VLOOKUP(H35,'G-1 All Habitats'!$V$3:$W$7,2,FALSE),"")</f>
        <v>0</v>
      </c>
      <c r="J35" s="54" t="s">
        <v>497</v>
      </c>
      <c r="K35" s="363">
        <f>IFERROR(INDEX('G-8 Condition Look up'!$A$3:$H$135,MATCH(F35,'G-8 Condition Look up'!$A$3:$A$135,0),MATCH(J35,'G-8 Condition Look up'!$A$3:$H$3,0)),"")</f>
        <v>0</v>
      </c>
      <c r="L35" s="54" t="s">
        <v>1029</v>
      </c>
      <c r="M35" s="370" t="str">
        <f>IF(L35="","",IF(VLOOKUP(L35,'G-3 Multipliers'!$L$3:$N$6,2,FALSE)=0,"Spatial Data Missing",VLOOKUP(L35,'G-3 Multipliers'!$L$3:$N$6,2,FALSE)))</f>
        <v xml:space="preserve">High strategic significance </v>
      </c>
      <c r="N35" s="368">
        <f>IF(L35="","",IF(VLOOKUP(L35,'G-3 Multipliers'!$L$3:$N$6,3,FALSE)=0,"Spatial Data Missing",VLOOKUP(L35,'G-3 Multipliers'!$L$3:$N$6,3,FALSE)))</f>
        <v>1.1499999999999999</v>
      </c>
      <c r="O35" s="362">
        <f t="shared" si="1"/>
        <v>0</v>
      </c>
      <c r="P35" s="63">
        <v>0</v>
      </c>
      <c r="Q35" s="63">
        <v>0</v>
      </c>
      <c r="R35" s="370" t="str">
        <f t="shared" si="2"/>
        <v>Standard time to target condition applied</v>
      </c>
      <c r="S35" s="383">
        <f t="shared" si="3"/>
        <v>0</v>
      </c>
      <c r="T35" s="384">
        <f>IFERROR(IF(S35="Check Data ⚠","Check Data ⚠",VLOOKUP(S35,'G-4 Temporal multipliers'!$A$4:$C$37,3,FALSE)),"")</f>
        <v>1</v>
      </c>
      <c r="U35" s="385" t="str">
        <f>IF(F35="","",VLOOKUP(F35,'G-3 Multipliers'!$A$2:$E$134,2,FALSE))</f>
        <v>Low</v>
      </c>
      <c r="V35" s="382" t="str">
        <f t="shared" si="5"/>
        <v>Standard difficulty applied</v>
      </c>
      <c r="W35" s="382" t="str">
        <f>IF(E35="","",IF(AND(V35="Standard difficulty applied",O35&gt;P35),U35,IF(AND(V35="Low Difficulty - only applicable if all habitat created before losses",P35&gt;=O35),"Low",VLOOKUP(F35,'G-3 Multipliers'!$A$2:$E$134,4,FALSE))))</f>
        <v>Medium</v>
      </c>
      <c r="X35" s="386">
        <f>IFERROR(IF(E35="","",VLOOKUP(W35, 'G-3 Multipliers'!$P$2:$Q$6,2,FALSE)),"")</f>
        <v>0.67</v>
      </c>
      <c r="Y35" s="390">
        <f t="shared" si="4"/>
        <v>0</v>
      </c>
      <c r="Z35" s="194" t="s">
        <v>1686</v>
      </c>
      <c r="AA35" s="195"/>
      <c r="AB35" s="120"/>
      <c r="AE35" s="40" t="str">
        <f t="shared" si="0"/>
        <v>Not Possible</v>
      </c>
    </row>
    <row r="36" spans="1:31" ht="42.75" x14ac:dyDescent="0.2">
      <c r="A36" s="35" t="str">
        <f>IFERROR(INDEX('G-8 Condition Look up'!$I$4:$I$135,MATCH(F36,'G-8 Condition Look up'!$A$4:$A$135,0)),"")</f>
        <v>Cond4</v>
      </c>
      <c r="C36" s="299" t="str">
        <f>IFERROR(INDEX('G-1 All Habitats'!$AG$3:$AG$17,MATCH(D36,'G-1 All Habitats'!$AF$3:$AF$17,0)),"")</f>
        <v>Woodland_and_forest</v>
      </c>
      <c r="D36" s="54" t="s">
        <v>131</v>
      </c>
      <c r="E36" s="61" t="s">
        <v>803</v>
      </c>
      <c r="F36" s="296" t="str">
        <f>IFERROR(INDEX('G-1 All Habitats'!$B$3:$B$134,MATCH(E36,'G-1 All Habitats'!$A$3:$A$134,0)),"")</f>
        <v>Woodland and forest - Other woodland; broadleaved</v>
      </c>
      <c r="G36" s="53">
        <v>0.26052308820148296</v>
      </c>
      <c r="H36" s="362" t="str">
        <f>IF(F36="","",VLOOKUP(F36,'G-1 All Habitats'!$B$2:$M$134,10,FALSE))</f>
        <v>Medium</v>
      </c>
      <c r="I36" s="363">
        <f>IFERROR(VLOOKUP(H36,'G-1 All Habitats'!$V$3:$W$7,2,FALSE),"")</f>
        <v>4</v>
      </c>
      <c r="J36" s="54" t="s">
        <v>67</v>
      </c>
      <c r="K36" s="363">
        <f>IFERROR(INDEX('G-8 Condition Look up'!$A$3:$H$135,MATCH(F36,'G-8 Condition Look up'!$A$3:$A$135,0),MATCH(J36,'G-8 Condition Look up'!$A$3:$H$3,0)),"")</f>
        <v>2</v>
      </c>
      <c r="L36" s="54" t="s">
        <v>1029</v>
      </c>
      <c r="M36" s="370" t="str">
        <f>IF(L36="","",IF(VLOOKUP(L36,'G-3 Multipliers'!$L$3:$N$6,2,FALSE)=0,"Spatial Data Missing",VLOOKUP(L36,'G-3 Multipliers'!$L$3:$N$6,2,FALSE)))</f>
        <v xml:space="preserve">High strategic significance </v>
      </c>
      <c r="N36" s="368">
        <f>IF(L36="","",IF(VLOOKUP(L36,'G-3 Multipliers'!$L$3:$N$6,3,FALSE)=0,"Spatial Data Missing",VLOOKUP(L36,'G-3 Multipliers'!$L$3:$N$6,3,FALSE)))</f>
        <v>1.1499999999999999</v>
      </c>
      <c r="O36" s="362">
        <f t="shared" si="1"/>
        <v>15</v>
      </c>
      <c r="P36" s="63">
        <v>0</v>
      </c>
      <c r="Q36" s="63">
        <v>0</v>
      </c>
      <c r="R36" s="370" t="str">
        <f t="shared" si="2"/>
        <v>Standard time to target condition applied</v>
      </c>
      <c r="S36" s="383">
        <f t="shared" si="3"/>
        <v>15</v>
      </c>
      <c r="T36" s="384">
        <f>IFERROR(IF(S36="Check Data ⚠","Check Data ⚠",VLOOKUP(S36,'G-4 Temporal multipliers'!$A$4:$C$37,3,FALSE)),"")</f>
        <v>0.58601630550000006</v>
      </c>
      <c r="U36" s="385" t="str">
        <f>IF(F36="","",VLOOKUP(F36,'G-3 Multipliers'!$A$2:$E$134,2,FALSE))</f>
        <v>Low</v>
      </c>
      <c r="V36" s="382" t="str">
        <f t="shared" si="5"/>
        <v>Standard difficulty applied</v>
      </c>
      <c r="W36" s="382" t="str">
        <f>IF(E36="","",IF(AND(V36="Standard difficulty applied",O36&gt;P36),U36,IF(AND(V36="Low Difficulty - only applicable if all habitat created before losses",P36&gt;=O36),"Low",VLOOKUP(F36,'G-3 Multipliers'!$A$2:$E$134,4,FALSE))))</f>
        <v>Low</v>
      </c>
      <c r="X36" s="386">
        <f>IFERROR(IF(E36="","",VLOOKUP(W36, 'G-3 Multipliers'!$P$2:$Q$6,2,FALSE)),"")</f>
        <v>1</v>
      </c>
      <c r="Y36" s="390">
        <f t="shared" si="4"/>
        <v>1.4045711543366097</v>
      </c>
      <c r="Z36" s="194"/>
      <c r="AA36" s="195"/>
      <c r="AB36" s="120"/>
      <c r="AE36" s="40">
        <f t="shared" si="0"/>
        <v>5</v>
      </c>
    </row>
    <row r="37" spans="1:31" x14ac:dyDescent="0.2">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x14ac:dyDescent="0.2">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x14ac:dyDescent="0.2">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x14ac:dyDescent="0.2">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x14ac:dyDescent="0.2">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x14ac:dyDescent="0.2">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x14ac:dyDescent="0.2">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x14ac:dyDescent="0.2">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x14ac:dyDescent="0.2">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x14ac:dyDescent="0.2">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x14ac:dyDescent="0.2">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x14ac:dyDescent="0.2">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x14ac:dyDescent="0.2">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x14ac:dyDescent="0.2">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x14ac:dyDescent="0.2">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x14ac:dyDescent="0.2">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x14ac:dyDescent="0.2">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x14ac:dyDescent="0.2">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x14ac:dyDescent="0.2">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x14ac:dyDescent="0.2">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x14ac:dyDescent="0.2">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x14ac:dyDescent="0.2">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x14ac:dyDescent="0.2">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x14ac:dyDescent="0.2">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x14ac:dyDescent="0.2">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x14ac:dyDescent="0.2">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x14ac:dyDescent="0.2">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x14ac:dyDescent="0.2">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x14ac:dyDescent="0.2">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x14ac:dyDescent="0.2">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x14ac:dyDescent="0.2">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x14ac:dyDescent="0.2">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x14ac:dyDescent="0.2">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x14ac:dyDescent="0.2">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x14ac:dyDescent="0.2">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x14ac:dyDescent="0.2">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x14ac:dyDescent="0.2">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x14ac:dyDescent="0.2">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x14ac:dyDescent="0.2">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x14ac:dyDescent="0.2">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x14ac:dyDescent="0.2">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x14ac:dyDescent="0.2">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x14ac:dyDescent="0.2">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x14ac:dyDescent="0.2">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x14ac:dyDescent="0.2">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x14ac:dyDescent="0.2">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x14ac:dyDescent="0.2">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x14ac:dyDescent="0.2">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x14ac:dyDescent="0.2">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x14ac:dyDescent="0.2">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x14ac:dyDescent="0.2">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x14ac:dyDescent="0.2">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x14ac:dyDescent="0.2">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x14ac:dyDescent="0.2">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x14ac:dyDescent="0.2">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x14ac:dyDescent="0.2">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x14ac:dyDescent="0.2">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x14ac:dyDescent="0.2">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x14ac:dyDescent="0.2">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x14ac:dyDescent="0.2">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x14ac:dyDescent="0.2">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x14ac:dyDescent="0.2">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x14ac:dyDescent="0.2">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x14ac:dyDescent="0.2">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x14ac:dyDescent="0.2">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x14ac:dyDescent="0.2">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x14ac:dyDescent="0.2">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x14ac:dyDescent="0.2">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x14ac:dyDescent="0.2">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x14ac:dyDescent="0.2">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x14ac:dyDescent="0.2">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x14ac:dyDescent="0.2">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x14ac:dyDescent="0.2">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x14ac:dyDescent="0.2">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x14ac:dyDescent="0.2">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x14ac:dyDescent="0.2">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x14ac:dyDescent="0.2">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x14ac:dyDescent="0.2">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x14ac:dyDescent="0.2">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x14ac:dyDescent="0.2">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x14ac:dyDescent="0.2">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x14ac:dyDescent="0.2">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x14ac:dyDescent="0.2">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x14ac:dyDescent="0.2">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x14ac:dyDescent="0.2">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x14ac:dyDescent="0.2">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x14ac:dyDescent="0.2">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x14ac:dyDescent="0.2">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x14ac:dyDescent="0.2">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x14ac:dyDescent="0.2">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x14ac:dyDescent="0.2">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x14ac:dyDescent="0.2">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x14ac:dyDescent="0.2">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x14ac:dyDescent="0.2">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x14ac:dyDescent="0.2">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x14ac:dyDescent="0.2">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x14ac:dyDescent="0.2">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x14ac:dyDescent="0.2">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x14ac:dyDescent="0.2">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x14ac:dyDescent="0.2">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x14ac:dyDescent="0.2">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x14ac:dyDescent="0.2">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x14ac:dyDescent="0.2">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x14ac:dyDescent="0.2">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x14ac:dyDescent="0.2">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x14ac:dyDescent="0.2">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x14ac:dyDescent="0.2">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x14ac:dyDescent="0.2">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x14ac:dyDescent="0.2">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x14ac:dyDescent="0.2">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x14ac:dyDescent="0.2">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x14ac:dyDescent="0.2">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x14ac:dyDescent="0.2">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x14ac:dyDescent="0.2">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x14ac:dyDescent="0.2">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x14ac:dyDescent="0.2">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x14ac:dyDescent="0.2">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x14ac:dyDescent="0.2">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x14ac:dyDescent="0.2">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x14ac:dyDescent="0.2">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x14ac:dyDescent="0.2">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x14ac:dyDescent="0.2">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x14ac:dyDescent="0.2">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x14ac:dyDescent="0.2">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x14ac:dyDescent="0.2">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x14ac:dyDescent="0.2">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x14ac:dyDescent="0.2">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x14ac:dyDescent="0.2">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x14ac:dyDescent="0.2">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x14ac:dyDescent="0.2">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x14ac:dyDescent="0.2">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x14ac:dyDescent="0.2">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x14ac:dyDescent="0.2">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x14ac:dyDescent="0.2">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x14ac:dyDescent="0.2">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x14ac:dyDescent="0.2">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x14ac:dyDescent="0.2">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x14ac:dyDescent="0.2">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x14ac:dyDescent="0.2">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x14ac:dyDescent="0.2">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x14ac:dyDescent="0.2">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x14ac:dyDescent="0.2">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x14ac:dyDescent="0.2">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x14ac:dyDescent="0.2">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x14ac:dyDescent="0.2">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x14ac:dyDescent="0.2">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x14ac:dyDescent="0.2">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x14ac:dyDescent="0.2">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x14ac:dyDescent="0.2">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x14ac:dyDescent="0.2">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x14ac:dyDescent="0.2">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x14ac:dyDescent="0.2">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x14ac:dyDescent="0.2">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x14ac:dyDescent="0.2">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x14ac:dyDescent="0.2">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x14ac:dyDescent="0.2">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x14ac:dyDescent="0.2">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x14ac:dyDescent="0.2">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x14ac:dyDescent="0.2">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x14ac:dyDescent="0.2">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x14ac:dyDescent="0.2">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x14ac:dyDescent="0.2">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x14ac:dyDescent="0.2">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x14ac:dyDescent="0.2">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x14ac:dyDescent="0.2">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x14ac:dyDescent="0.2">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x14ac:dyDescent="0.2">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x14ac:dyDescent="0.2">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x14ac:dyDescent="0.2">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x14ac:dyDescent="0.2">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x14ac:dyDescent="0.2">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x14ac:dyDescent="0.2">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x14ac:dyDescent="0.2">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x14ac:dyDescent="0.2">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x14ac:dyDescent="0.2">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x14ac:dyDescent="0.2">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x14ac:dyDescent="0.2">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x14ac:dyDescent="0.2">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x14ac:dyDescent="0.2">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x14ac:dyDescent="0.2">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x14ac:dyDescent="0.2">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x14ac:dyDescent="0.2">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x14ac:dyDescent="0.2">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x14ac:dyDescent="0.2">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x14ac:dyDescent="0.2">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x14ac:dyDescent="0.2">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x14ac:dyDescent="0.2">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x14ac:dyDescent="0.2">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x14ac:dyDescent="0.2">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x14ac:dyDescent="0.2">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x14ac:dyDescent="0.2">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x14ac:dyDescent="0.2">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x14ac:dyDescent="0.2">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x14ac:dyDescent="0.2">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x14ac:dyDescent="0.2">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x14ac:dyDescent="0.2">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x14ac:dyDescent="0.2">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x14ac:dyDescent="0.2">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x14ac:dyDescent="0.2">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x14ac:dyDescent="0.2">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x14ac:dyDescent="0.2">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x14ac:dyDescent="0.2">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x14ac:dyDescent="0.2">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x14ac:dyDescent="0.2">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x14ac:dyDescent="0.2">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x14ac:dyDescent="0.2">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x14ac:dyDescent="0.2">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x14ac:dyDescent="0.2">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x14ac:dyDescent="0.2">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x14ac:dyDescent="0.2">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x14ac:dyDescent="0.2">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x14ac:dyDescent="0.2">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x14ac:dyDescent="0.2">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x14ac:dyDescent="0.2">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x14ac:dyDescent="0.2">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x14ac:dyDescent="0.2">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x14ac:dyDescent="0.2">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x14ac:dyDescent="0.2">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x14ac:dyDescent="0.2">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 thickBot="1" x14ac:dyDescent="0.25">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 thickBot="1" x14ac:dyDescent="0.25">
      <c r="E257" s="811" t="s">
        <v>330</v>
      </c>
      <c r="F257" s="266" t="s">
        <v>331</v>
      </c>
      <c r="G257" s="403">
        <f>SUM(G11:G256)</f>
        <v>1172.2401991500383</v>
      </c>
      <c r="T257" s="66"/>
      <c r="U257" s="66"/>
      <c r="V257" s="66"/>
      <c r="W257" s="66"/>
      <c r="X257" s="132" t="s">
        <v>332</v>
      </c>
      <c r="Y257" s="381">
        <f>SUM(Y11:Y256)</f>
        <v>4428.9673475653599</v>
      </c>
    </row>
    <row r="258" spans="5:25" ht="15" thickBot="1" x14ac:dyDescent="0.25"/>
    <row r="259" spans="5:25" ht="15" thickBot="1" x14ac:dyDescent="0.25">
      <c r="E259" s="515" t="s">
        <v>306</v>
      </c>
      <c r="G259" s="366">
        <f>IF('Detailed Results'!$K$40&gt;0,"Error",SUMIFS($G$11:$G$256,$F$11:$F$256,"&lt;&gt;"&amp;'G-1 All Habitats'!B80,$F$11:$F$256,"&lt;&gt;"&amp;'G-1 All Habitats'!B81,$F$11:$F$256,"&lt;&gt;"&amp;'G-1 All Habitats'!B67,$F$11:$F$256,"&lt;&gt;"&amp;'G-1 All Habitats'!B68, $F$11:$F$256,"&lt;&gt;"&amp;'G-1 All Habitats'!B81))</f>
        <v>1172.2401991500383</v>
      </c>
    </row>
    <row r="260" spans="5:25" ht="15" thickBot="1" x14ac:dyDescent="0.25"/>
    <row r="261" spans="5:25" ht="15" thickBot="1" x14ac:dyDescent="0.25">
      <c r="E261" s="1462" t="s">
        <v>308</v>
      </c>
      <c r="F261" s="36"/>
      <c r="G261" s="597" t="s">
        <v>309</v>
      </c>
      <c r="H261" s="551" t="s">
        <v>310</v>
      </c>
      <c r="I261" s="1416" t="s">
        <v>311</v>
      </c>
      <c r="J261" s="1417"/>
    </row>
    <row r="262" spans="5:25" ht="15" customHeight="1" thickBot="1" x14ac:dyDescent="0.25">
      <c r="E262" s="1463"/>
      <c r="F262" s="36"/>
      <c r="G262" s="553"/>
      <c r="H262" s="552" t="str">
        <f>IF(G261="Hectares",G262,IF(G261="M²",G262/10000,""))</f>
        <v/>
      </c>
      <c r="I262" s="1418" t="str">
        <f>IF(G261="M²",G262,IF(G261="Hectares",G262*10000,""))</f>
        <v/>
      </c>
      <c r="J262" s="1419"/>
    </row>
    <row r="263" spans="5:25" x14ac:dyDescent="0.2">
      <c r="E263" s="35"/>
    </row>
    <row r="264" spans="5:25" x14ac:dyDescent="0.2">
      <c r="E264" s="35"/>
    </row>
    <row r="265" spans="5:25" x14ac:dyDescent="0.2">
      <c r="E265" s="35"/>
    </row>
    <row r="266" spans="5:25" x14ac:dyDescent="0.2">
      <c r="E266" s="35"/>
    </row>
  </sheetData>
  <sheetProtection algorithmName="SHA-512" hashValue="Cj9U0ETiBKNijC3EaOw2EFJW/owGr6z4i72g8FuUvKk+ZYBtK68sUtDohheRKs/I0bBXZLWPALvLkpZQW8BMtw==" saltValue="ulDSD8/POO8iU5o4LAldlA=="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E257">
    <cfRule type="containsText" dxfId="491" priority="21" operator="containsText" text="Error">
      <formula>NOT(ISERROR(SEARCH("Error",E257)))</formula>
    </cfRule>
    <cfRule type="containsText" dxfId="490" priority="22" operator="containsText" text="Check">
      <formula>NOT(ISERROR(SEARCH("Check",E257)))</formula>
    </cfRule>
  </conditionalFormatting>
  <conditionalFormatting sqref="H7:L7">
    <cfRule type="containsText" dxfId="489" priority="2" operator="containsText" text="⚠">
      <formula>NOT(ISERROR(SEARCH("⚠",H7)))</formula>
    </cfRule>
  </conditionalFormatting>
  <conditionalFormatting sqref="K3">
    <cfRule type="containsText" dxfId="488" priority="13" operator="containsText" text="Error">
      <formula>NOT(ISERROR(SEARCH("Error",K3)))</formula>
    </cfRule>
    <cfRule type="containsText" dxfId="487" priority="14" operator="containsText" text="Check">
      <formula>NOT(ISERROR(SEARCH("Check",K3)))</formula>
    </cfRule>
  </conditionalFormatting>
  <conditionalFormatting sqref="K4">
    <cfRule type="containsText" dxfId="486" priority="1" operator="containsText" text="Check">
      <formula>NOT(ISERROR(SEARCH("Check",K4)))</formula>
    </cfRule>
    <cfRule type="containsText" dxfId="485" priority="8" operator="containsText" text="Error">
      <formula>NOT(ISERROR(SEARCH("Error",K4)))</formula>
    </cfRule>
    <cfRule type="cellIs" dxfId="484" priority="9" operator="equal">
      <formula>0</formula>
    </cfRule>
  </conditionalFormatting>
  <conditionalFormatting sqref="K5">
    <cfRule type="containsText" dxfId="481" priority="6" operator="containsText" text="No">
      <formula>NOT(ISERROR(SEARCH("No",K5)))</formula>
    </cfRule>
    <cfRule type="containsText" dxfId="480" priority="7" operator="containsText" text="Yes">
      <formula>NOT(ISERROR(SEARCH("Yes",K5)))</formula>
    </cfRule>
  </conditionalFormatting>
  <conditionalFormatting sqref="K6">
    <cfRule type="containsText" dxfId="479" priority="4" operator="containsText" text=" 🗸">
      <formula>NOT(ISERROR(SEARCH(" 🗸",K6)))</formula>
    </cfRule>
    <cfRule type="containsText" dxfId="478" priority="5" operator="containsText" text="▲">
      <formula>NOT(ISERROR(SEARCH("▲",K6)))</formula>
    </cfRule>
  </conditionalFormatting>
  <conditionalFormatting sqref="K11:K256">
    <cfRule type="cellIs" dxfId="477" priority="52" operator="equal">
      <formula>"Not Possible"</formula>
    </cfRule>
  </conditionalFormatting>
  <conditionalFormatting sqref="K4:L4">
    <cfRule type="cellIs" dxfId="476" priority="10" operator="lessThan">
      <formula>0</formula>
    </cfRule>
  </conditionalFormatting>
  <conditionalFormatting sqref="N2">
    <cfRule type="containsText" dxfId="475" priority="27" operator="containsText" text="Note">
      <formula>NOT(ISERROR(SEARCH("Note",N2)))</formula>
    </cfRule>
  </conditionalFormatting>
  <conditionalFormatting sqref="N4">
    <cfRule type="containsText" dxfId="474" priority="26" operator="containsText" text="Check">
      <formula>NOT(ISERROR(SEARCH("Check",N4)))</formula>
    </cfRule>
  </conditionalFormatting>
  <conditionalFormatting sqref="O11:O256">
    <cfRule type="containsText" dxfId="473" priority="33" operator="containsText" text="30+">
      <formula>NOT(ISERROR(SEARCH("30+",O11)))</formula>
    </cfRule>
  </conditionalFormatting>
  <conditionalFormatting sqref="R12:X256 R11:Y11 X12:Y257">
    <cfRule type="containsText" dxfId="472" priority="28" operator="containsText" text="Error">
      <formula>NOT(ISERROR(SEARCH("Error",R11)))</formula>
    </cfRule>
  </conditionalFormatting>
  <conditionalFormatting sqref="R11:Y11 R12:X256 X12:Y257">
    <cfRule type="containsText" dxfId="471" priority="31" operator="containsText" text="Check">
      <formula>NOT(ISERROR(SEARCH("Check",R11)))</formula>
    </cfRule>
  </conditionalFormatting>
  <conditionalFormatting sqref="S11:S256">
    <cfRule type="containsText" dxfId="470" priority="34" operator="containsText" text="30+">
      <formula>NOT(ISERROR(SEARCH("30+",S11)))</formula>
    </cfRule>
  </conditionalFormatting>
  <conditionalFormatting sqref="S2:X5">
    <cfRule type="containsText" dxfId="469" priority="3" operator="containsText" text="Check">
      <formula>NOT(ISERROR(SEARCH("Check",S2)))</formula>
    </cfRule>
  </conditionalFormatting>
  <conditionalFormatting sqref="T255">
    <cfRule type="containsText" dxfId="468" priority="25" operator="containsText" text="30+">
      <formula>NOT(ISERROR(SEARCH("30+",T255)))</formula>
    </cfRule>
  </conditionalFormatting>
  <conditionalFormatting sqref="V11:V256">
    <cfRule type="cellIs" dxfId="467" priority="23" operator="equal">
      <formula>"No - Enhancement difficulty applied"</formula>
    </cfRule>
    <cfRule type="containsText" dxfId="466" priority="29" operator="containsText" text="No - Low Difficulty">
      <formula>NOT(ISERROR(SEARCH("No - Low Difficulty",V11)))</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2" operator="lessThan" id="{0B505358-DF53-46B7-974A-183E1924519F}">
            <xm:f>Start!$F$22</xm:f>
            <x14:dxf>
              <font>
                <color rgb="FF383745"/>
              </font>
              <fill>
                <patternFill>
                  <bgColor rgb="FFFFC000"/>
                </patternFill>
              </fill>
            </x14:dxf>
          </x14:cfRule>
          <x14:cfRule type="cellIs" priority="423" operator="greaterThanOrEqual" id="{42D50648-5D71-4680-876A-3EF944CA0FC3}">
            <xm:f>0+Start!$F$22</xm:f>
            <x14:dxf>
              <font>
                <color rgb="FF383745"/>
              </font>
              <fill>
                <patternFill>
                  <bgColor rgb="FF92D050"/>
                </patternFill>
              </fill>
            </x14:dxf>
          </x14:cfRule>
          <xm:sqref>K4</xm:sqref>
        </x14:conditionalFormatting>
        <x14:conditionalFormatting xmlns:xm="http://schemas.microsoft.com/office/excel/2006/main">
          <x14:cfRule type="iconSet" priority="15"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iconSet" priority="16"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W1" zoomScale="55" zoomScaleNormal="55" workbookViewId="0">
      <pane ySplit="11" topLeftCell="A12" activePane="bottomLeft" state="frozen"/>
      <selection pane="bottomLeft" activeCell="V16" activeCellId="1" sqref="V12 V16"/>
    </sheetView>
  </sheetViews>
  <sheetFormatPr defaultColWidth="8.85546875" defaultRowHeight="14.25" zeroHeight="1" x14ac:dyDescent="0.2"/>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140625" style="35" customWidth="1"/>
    <col min="8" max="9" width="17.85546875" style="35" customWidth="1"/>
    <col min="10" max="10" width="18.140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140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140625" style="35" customWidth="1"/>
    <col min="31" max="31" width="20.855468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140625" style="35" customWidth="1"/>
    <col min="39" max="39" width="14.5703125" style="35" customWidth="1"/>
    <col min="40" max="40" width="12.7109375" style="35" customWidth="1"/>
    <col min="41" max="41" width="40.28515625" style="35" customWidth="1"/>
    <col min="42" max="42" width="42.28515625" style="35" customWidth="1"/>
    <col min="43" max="43" width="14.85546875" style="35" customWidth="1"/>
    <col min="44" max="55" width="8.85546875" style="35" customWidth="1"/>
    <col min="56" max="16384" width="8.85546875" style="35"/>
  </cols>
  <sheetData>
    <row r="1" spans="1:43" ht="15" thickBot="1" x14ac:dyDescent="0.25"/>
    <row r="2" spans="1:43" ht="19.5" customHeight="1" thickBot="1" x14ac:dyDescent="0.3">
      <c r="E2" s="1445" t="str">
        <f>CONCATENATE("Project Name:", " ", Start!F12, "     ", "Map Reference:", " ", Start!K55)</f>
        <v xml:space="preserve">Project Name: Botley West Solar Farm     Map Reference: </v>
      </c>
      <c r="F2" s="1486"/>
      <c r="G2" s="1446"/>
      <c r="R2" s="1401" t="s">
        <v>263</v>
      </c>
      <c r="S2" s="1402"/>
      <c r="T2" s="1402"/>
      <c r="U2" s="1403"/>
      <c r="V2" s="1495" t="str" cm="1">
        <f t="array" ref="V2">IF(OR(Y12:Y257 = "Fairly Good", Y12:Y257 = "Fairly Poor"),"A 'Fairly' Category has been used - check evidence to ensure this is appropriate ⚠", "")</f>
        <v/>
      </c>
      <c r="W2" s="1495"/>
      <c r="X2" s="1495"/>
      <c r="Y2" s="1495"/>
      <c r="Z2" s="1495"/>
      <c r="AA2" s="1495"/>
      <c r="AD2" s="1494" t="str">
        <f ca="1">IF(OR(COUNTIF($AD$12:AD257,"*30+*")&gt;0,COUNTIF(AH12:AH257,"*30+*")&gt;0),"Note; Habitat selected has a time to target condition greater than 30 years. Non standard agreement may be required.","")</f>
        <v/>
      </c>
      <c r="AE2" s="1494"/>
      <c r="AF2" s="1494"/>
      <c r="AG2" s="1494"/>
      <c r="AH2" s="1494"/>
      <c r="AI2" s="1494"/>
    </row>
    <row r="3" spans="1:43" ht="13.15" customHeight="1" x14ac:dyDescent="0.2">
      <c r="E3" s="1487" t="str">
        <f ca="1">MID(CELL("filename",D1),FIND("]",CELL("filename",D1))+1,256)</f>
        <v>A-3 On-Site Habitat Enhancement</v>
      </c>
      <c r="F3" s="1488"/>
      <c r="G3" s="1489"/>
      <c r="R3" s="1439" t="s">
        <v>264</v>
      </c>
      <c r="S3" s="1440"/>
      <c r="T3" s="1498">
        <f ca="1">'Headline Results'!H47</f>
        <v>2079.2936185042022</v>
      </c>
      <c r="U3" s="1499"/>
      <c r="V3" s="1495"/>
      <c r="W3" s="1495"/>
      <c r="X3" s="1495"/>
      <c r="Y3" s="1495"/>
      <c r="Z3" s="1495"/>
      <c r="AA3" s="1495"/>
      <c r="AD3" s="1494"/>
      <c r="AE3" s="1494"/>
      <c r="AF3" s="1494"/>
      <c r="AG3" s="1494"/>
      <c r="AH3" s="1494"/>
      <c r="AI3" s="1494"/>
    </row>
    <row r="4" spans="1:43" ht="15.75" customHeight="1" thickBot="1" x14ac:dyDescent="0.3">
      <c r="E4" s="1447"/>
      <c r="F4" s="1490"/>
      <c r="G4" s="1448"/>
      <c r="H4" s="189" t="str">
        <f>IF(G4="","",IF(ISNA(VLOOKUP($E4,'A-1 On-Site Habitat Baseline'!$D$1:$O$258,3,FALSE)),"",(VLOOKUP($E4,'A-1 On-Site Habitat Baseline'!$D$1:$O$258,3,FALSE))))</f>
        <v/>
      </c>
      <c r="R4" s="1441" t="s">
        <v>266</v>
      </c>
      <c r="S4" s="1442"/>
      <c r="T4" s="1500">
        <f ca="1">'Headline Results'!H51</f>
        <v>0.81283399226151964</v>
      </c>
      <c r="U4" s="1501"/>
      <c r="V4" s="1495"/>
      <c r="W4" s="1495"/>
      <c r="X4" s="1495"/>
      <c r="Y4" s="1495"/>
      <c r="Z4" s="1495"/>
      <c r="AA4" s="1495"/>
      <c r="AD4" s="330"/>
      <c r="AE4" s="330"/>
      <c r="AF4" s="330"/>
      <c r="AG4" s="330"/>
      <c r="AK4" s="190"/>
      <c r="AL4" s="190"/>
      <c r="AM4" s="190"/>
    </row>
    <row r="5" spans="1:43" ht="15" customHeight="1" thickBot="1" x14ac:dyDescent="0.25">
      <c r="R5" s="1443" t="s">
        <v>268</v>
      </c>
      <c r="S5" s="1437"/>
      <c r="T5" s="1437" t="str" cm="1">
        <f t="array" aca="1" ref="T5" ca="1">IF(OR('Trading Summary Area Habitats'!G5:G8="No ▲"), "No - check trading summaries ▲", "Yes ✓")</f>
        <v>Yes ✓</v>
      </c>
      <c r="U5" s="1438"/>
      <c r="V5" s="1495"/>
      <c r="W5" s="1495"/>
      <c r="X5" s="1495"/>
      <c r="Y5" s="1495"/>
      <c r="Z5" s="1495"/>
      <c r="AA5" s="1495"/>
      <c r="AD5" s="1494" t="str">
        <f ca="1">IF(Q12&lt;&gt;A12,"Change in broad habitat type detected. Check compliance with guidance.","")</f>
        <v/>
      </c>
      <c r="AE5" s="1494"/>
      <c r="AF5" s="1494"/>
      <c r="AG5" s="1494"/>
      <c r="AH5" s="1494"/>
      <c r="AI5" s="1494"/>
    </row>
    <row r="6" spans="1:43" ht="15.75" customHeight="1" x14ac:dyDescent="0.2">
      <c r="R6" s="1496" t="str" cm="1">
        <f t="array" ref="R6">IF(OR(Q11:Q258="watercourse footprint"),"Please ensure the watercourse details for any watercourse footprints recorded are included in the watercourse tabs ⚠", "")</f>
        <v/>
      </c>
      <c r="S6" s="1496"/>
      <c r="T6" s="1496"/>
      <c r="AD6" s="1494"/>
      <c r="AE6" s="1494"/>
      <c r="AF6" s="1494"/>
      <c r="AG6" s="1494"/>
      <c r="AH6" s="1494"/>
      <c r="AI6" s="1494"/>
    </row>
    <row r="7" spans="1:43" x14ac:dyDescent="0.2">
      <c r="E7" s="36"/>
      <c r="F7" s="36"/>
      <c r="R7" s="1496"/>
      <c r="S7" s="1496"/>
      <c r="T7" s="1496"/>
    </row>
    <row r="8" spans="1:43" ht="18" customHeight="1" thickBot="1" x14ac:dyDescent="0.25">
      <c r="R8" s="1497"/>
      <c r="S8" s="1497"/>
      <c r="T8" s="1497"/>
    </row>
    <row r="9" spans="1:43" ht="15.6" customHeight="1" thickBot="1" x14ac:dyDescent="0.25">
      <c r="F9" s="41"/>
      <c r="G9" s="41"/>
      <c r="H9" s="41"/>
      <c r="I9" s="41"/>
      <c r="J9" s="41"/>
      <c r="K9" s="41"/>
      <c r="L9" s="41"/>
      <c r="M9" s="41"/>
      <c r="N9" s="41"/>
      <c r="O9" s="41"/>
      <c r="P9" s="41"/>
      <c r="Q9" s="1455" t="s">
        <v>312</v>
      </c>
      <c r="R9" s="1456"/>
      <c r="S9" s="1456"/>
      <c r="T9" s="1456"/>
      <c r="U9" s="1456"/>
      <c r="V9" s="1456"/>
      <c r="W9" s="1456"/>
      <c r="X9" s="1456"/>
      <c r="Y9" s="1456"/>
      <c r="Z9" s="1456"/>
      <c r="AA9" s="1456"/>
      <c r="AB9" s="1456"/>
      <c r="AC9" s="1456"/>
      <c r="AD9" s="1456"/>
      <c r="AE9" s="1456"/>
      <c r="AF9" s="1456"/>
      <c r="AG9" s="1456"/>
      <c r="AH9" s="1456"/>
      <c r="AI9" s="1456"/>
      <c r="AJ9" s="1456"/>
      <c r="AK9" s="1456"/>
      <c r="AL9" s="1456"/>
      <c r="AM9" s="1457"/>
    </row>
    <row r="10" spans="1:43" ht="28.15" customHeight="1" thickBot="1" x14ac:dyDescent="0.25">
      <c r="F10" s="1455" t="s">
        <v>333</v>
      </c>
      <c r="G10" s="1456"/>
      <c r="H10" s="1456"/>
      <c r="I10" s="1456"/>
      <c r="J10" s="1456"/>
      <c r="K10" s="1456"/>
      <c r="L10" s="1456"/>
      <c r="M10" s="1456"/>
      <c r="N10" s="1456"/>
      <c r="O10" s="1457"/>
      <c r="P10" s="191"/>
      <c r="Q10" s="1491" t="s">
        <v>334</v>
      </c>
      <c r="R10" s="1492"/>
      <c r="S10" s="308"/>
      <c r="T10" s="1493" t="s">
        <v>335</v>
      </c>
      <c r="U10" s="1492"/>
      <c r="V10" s="1504" t="s">
        <v>336</v>
      </c>
      <c r="W10" s="1484" t="s">
        <v>270</v>
      </c>
      <c r="X10" s="1484" t="s">
        <v>287</v>
      </c>
      <c r="Y10" s="1484" t="s">
        <v>271</v>
      </c>
      <c r="Z10" s="1485" t="s">
        <v>287</v>
      </c>
      <c r="AA10" s="1502" t="s">
        <v>272</v>
      </c>
      <c r="AB10" s="1503"/>
      <c r="AC10" s="1503"/>
      <c r="AD10" s="1484" t="s">
        <v>337</v>
      </c>
      <c r="AE10" s="1484"/>
      <c r="AF10" s="1484"/>
      <c r="AG10" s="1484"/>
      <c r="AH10" s="1484"/>
      <c r="AI10" s="1484"/>
      <c r="AJ10" s="1484" t="s">
        <v>338</v>
      </c>
      <c r="AK10" s="1484"/>
      <c r="AL10" s="1484"/>
      <c r="AM10" s="1485"/>
      <c r="AN10" s="1410" t="s">
        <v>317</v>
      </c>
      <c r="AO10" s="1491" t="s">
        <v>277</v>
      </c>
      <c r="AP10" s="1492"/>
    </row>
    <row r="11" spans="1:43" s="37" customFormat="1" ht="60" customHeight="1" thickBot="1" x14ac:dyDescent="0.25">
      <c r="A11" s="302" t="s">
        <v>283</v>
      </c>
      <c r="B11" s="302" t="s">
        <v>339</v>
      </c>
      <c r="C11" s="302" t="s">
        <v>281</v>
      </c>
      <c r="E11" s="286" t="s">
        <v>340</v>
      </c>
      <c r="F11" s="290" t="s">
        <v>341</v>
      </c>
      <c r="G11" s="290" t="s">
        <v>342</v>
      </c>
      <c r="H11" s="290" t="s">
        <v>343</v>
      </c>
      <c r="I11" s="290" t="s">
        <v>344</v>
      </c>
      <c r="J11" s="290" t="s">
        <v>345</v>
      </c>
      <c r="K11" s="290" t="s">
        <v>346</v>
      </c>
      <c r="L11" s="290" t="s">
        <v>347</v>
      </c>
      <c r="M11" s="290" t="s">
        <v>348</v>
      </c>
      <c r="N11" s="290" t="s">
        <v>349</v>
      </c>
      <c r="O11" s="288" t="s">
        <v>273</v>
      </c>
      <c r="P11" s="284" t="s">
        <v>350</v>
      </c>
      <c r="Q11" s="297" t="s">
        <v>351</v>
      </c>
      <c r="R11" s="59" t="s">
        <v>314</v>
      </c>
      <c r="S11" s="285" t="s">
        <v>314</v>
      </c>
      <c r="T11" s="287" t="s">
        <v>352</v>
      </c>
      <c r="U11" s="289" t="s">
        <v>353</v>
      </c>
      <c r="V11" s="1505"/>
      <c r="W11" s="1508"/>
      <c r="X11" s="1508"/>
      <c r="Y11" s="1508"/>
      <c r="Z11" s="1507"/>
      <c r="AA11" s="297" t="s">
        <v>272</v>
      </c>
      <c r="AB11" s="303" t="s">
        <v>272</v>
      </c>
      <c r="AC11" s="304" t="s">
        <v>318</v>
      </c>
      <c r="AD11" s="297" t="s">
        <v>319</v>
      </c>
      <c r="AE11" s="305" t="s">
        <v>354</v>
      </c>
      <c r="AF11" s="305" t="s">
        <v>355</v>
      </c>
      <c r="AG11" s="305" t="s">
        <v>322</v>
      </c>
      <c r="AH11" s="305" t="s">
        <v>323</v>
      </c>
      <c r="AI11" s="298" t="s">
        <v>324</v>
      </c>
      <c r="AJ11" s="297" t="s">
        <v>356</v>
      </c>
      <c r="AK11" s="305" t="s">
        <v>326</v>
      </c>
      <c r="AL11" s="305" t="s">
        <v>357</v>
      </c>
      <c r="AM11" s="307" t="s">
        <v>328</v>
      </c>
      <c r="AN11" s="1506"/>
      <c r="AO11" s="287" t="s">
        <v>296</v>
      </c>
      <c r="AP11" s="289" t="s">
        <v>297</v>
      </c>
      <c r="AQ11" s="48" t="s">
        <v>298</v>
      </c>
    </row>
    <row r="12" spans="1:43" ht="28.5" x14ac:dyDescent="0.2">
      <c r="A12" s="35" t="str">
        <f ca="1">IF(E12="","",IF(ISNA(VLOOKUP($E12,'A-1 On-Site Habitat Baseline'!$D$1:$O$258,2,FALSE)),"",(VLOOKUP($E12,'A-1 On-Site Habitat Baseline'!$D$1:$O$258,2,FALSE))))</f>
        <v>Grassland</v>
      </c>
      <c r="B12" s="35" t="str">
        <f ca="1">IF(E12="","",IF(ISNA(VLOOKUP($E12,'A-1 On-Site Habitat Baseline'!$D$1:$O$258,3,FALSE)),"",(VLOOKUP($E12,'A-1 On-Site Habitat Baseline'!$D$1:$O$258,3,FALSE))))</f>
        <v>Modified grassland</v>
      </c>
      <c r="C12" s="35" t="str">
        <f>IFERROR(INDEX('G-8 Condition Look up'!$I$4:$I$135,MATCH(S12,'G-8 Condition Look up'!$A$4:$A$135,0)),"")</f>
        <v>Cond4</v>
      </c>
      <c r="E12" s="392">
        <f>'A-1 On-Site Habitat Baseline'!AL11</f>
        <v>15</v>
      </c>
      <c r="F12" s="382" t="str">
        <f ca="1">IF(E12="","",IF(ISNA(VLOOKUP($E12,'A-1 On-Site Habitat Baseline'!$D$1:$O$258,4,FALSE)),"",(VLOOKUP($E12,'A-1 On-Site Habitat Baseline'!$D$1:$O$258,4,FALSE))))</f>
        <v>Grassland - Modified grassland</v>
      </c>
      <c r="G12" s="382">
        <f ca="1">IF(E12="","",IF(ISNA(VLOOKUP($E12,'A-1 On-Site Habitat Baseline'!$D$1:$O$258,5,FALSE)),"",(VLOOKUP($E12,'A-1 On-Site Habitat Baseline'!$D$1:$O$258,5,FALSE))))</f>
        <v>8.5929656302180852</v>
      </c>
      <c r="H12" s="382" t="str">
        <f ca="1">IF(E12="","",IF(ISNA(VLOOKUP($E12,'A-1 On-Site Habitat Baseline'!$D$1:$O$258,6,FALSE)),"",(VLOOKUP($E12,'A-1 On-Site Habitat Baseline'!$D$1:$O$258,6,FALSE))))</f>
        <v>Low</v>
      </c>
      <c r="I12" s="382">
        <f ca="1">IF(E12="","",IF(ISNA(VLOOKUP($E12,'A-1 On-Site Habitat Baseline'!$D$1:$O$258,7,FALSE)),"",(VLOOKUP($E12,'A-1 On-Site Habitat Baseline'!$D$1:$O$258,7,FALSE))))</f>
        <v>2</v>
      </c>
      <c r="J12" s="382" t="str">
        <f ca="1">IF(E12="","",IF(ISNA(VLOOKUP($E12,'A-1 On-Site Habitat Baseline'!$D$1:$O$258,8,FALSE)),"",(VLOOKUP($E12,'A-1 On-Site Habitat Baseline'!$D$1:$O$258,8,FALSE))))</f>
        <v>Poor</v>
      </c>
      <c r="K12" s="382">
        <f ca="1">IF(E12="","",IF(ISNA(VLOOKUP($E12,'A-1 On-Site Habitat Baseline'!$D$1:$O$258,9,FALSE)),"",(VLOOKUP($E12,'A-1 On-Site Habitat Baseline'!$D$1:$O$258,9,FALSE))))</f>
        <v>1</v>
      </c>
      <c r="L12" s="382" t="str">
        <f ca="1">IF(E12="","",IF(ISNA(VLOOKUP($E12,'A-1 On-Site Habitat Baseline'!$D$1:$O$258,11,FALSE)),"",(VLOOKUP($E12,'A-1 On-Site Habitat Baseline'!$D$1:$O$258,11,FALSE))))</f>
        <v>Low Strategic Significance</v>
      </c>
      <c r="M12" s="382">
        <f ca="1">IF(E12="","",IF(ISNA(VLOOKUP($E12,'A-1 On-Site Habitat Baseline'!$D$1:$O$258,12,FALSE)),"",(VLOOKUP($E12,'A-1 On-Site Habitat Baseline'!$D$1:$O$258,12,FALSE))))</f>
        <v>1</v>
      </c>
      <c r="N12" s="393">
        <f ca="1">IF(E12="","",IF(ISNA(VLOOKUP($E12,'A-1 On-Site Habitat Baseline'!$D$1:$X$258,14,FALSE)),"",(VLOOKUP($E12,'A-1 On-Site Habitat Baseline'!$D$1:$X$258,14,FALSE))))</f>
        <v>17.18593126043617</v>
      </c>
      <c r="O12" s="386" t="str">
        <f ca="1">IF(E12="","",IF(ISNA(VLOOKUP($E12,'A-1 On-Site Habitat Baseline'!$D$1:$X$258,16,FALSE)),"",(VLOOKUP($E12,'A-1 On-Site Habitat Baseline'!$D$1:$X$258,13,FALSE))))</f>
        <v>Same distinctiveness or better habitat required ≥</v>
      </c>
      <c r="P12" s="192" t="str">
        <f>IFERROR(INDEX('G-1 All Habitats'!$AG$3:$AG$17,MATCH(Q12,'G-1 All Habitats'!$AF$3:$AF$17,0)),"")</f>
        <v>Grassland</v>
      </c>
      <c r="Q12" s="193" t="s">
        <v>125</v>
      </c>
      <c r="R12" s="193" t="s">
        <v>540</v>
      </c>
      <c r="S12" s="306" t="str">
        <f>IFERROR(INDEX('G-1 All Habitats'!$B$3:$B$134,MATCH(R12,'G-1 All Habitats'!$A$3:$A$134,0)),"")</f>
        <v>Grassland - Modified grassland</v>
      </c>
      <c r="T12" s="362"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Low</v>
      </c>
      <c r="U12" s="363" t="str">
        <f ca="1">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Poor - Moderate</v>
      </c>
      <c r="V12" s="398">
        <f>IF(S12="","",VLOOKUP(E12,BaselineHabSite,17,FALSE))</f>
        <v>8.5929656302180852</v>
      </c>
      <c r="W12" s="382" t="str">
        <f>IF(S12="","",VLOOKUP(S12,'G-1 All Habitats'!$B$2:$M$134,10,FALSE))</f>
        <v>Low</v>
      </c>
      <c r="X12" s="382">
        <f>IFERROR(VLOOKUP(W12,'G-1 All Habitats'!$V$3:$W$7,2,FALSE),"")</f>
        <v>2</v>
      </c>
      <c r="Y12" s="61" t="s">
        <v>67</v>
      </c>
      <c r="Z12" s="386">
        <f>IFERROR(INDEX('G-8 Condition Look up'!$A$3:$H$135,MATCH(S12,'G-8 Condition Look up'!$A$3:$A$135,0),MATCH(Y12,'G-8 Condition Look up'!$A$3:$H$3,0)),"")</f>
        <v>2</v>
      </c>
      <c r="AA12" s="54" t="s">
        <v>1037</v>
      </c>
      <c r="AB12" s="382" t="str">
        <f>IF(AA12="","",IF(VLOOKUP(AA12,'G-3 Multipliers'!$L$3:$N$6,2,FALSE)=0,"Spatial Data Missing ⚠",VLOOKUP(AA12,'G-3 Multipliers'!$L$3:$N$6,2,FALSE)))</f>
        <v>Low Strategic Significance</v>
      </c>
      <c r="AC12" s="386">
        <f>IF(AA12="","",IF(VLOOKUP(AA12,'G-3 Multipliers'!$L$3:$N$6,3,FALSE)=0,"Spatial Data Missing ⚠",VLOOKUP(AA12,'G-3 Multipliers'!$L$3:$N$6,3,FALSE)))</f>
        <v>1</v>
      </c>
      <c r="AD12" s="400">
        <f t="shared" ref="AD12:AD75" ca="1" si="0">IFERROR(IF(OR(LEFT(U12,5)="Error",LEFT(T12,5)="Error"),"Check Data ⚠",INDEX(EnhanceTemporal,MATCH(S12,EnhanceHabitat,0),MATCH(U12,EnhanceCondition,0))),"")</f>
        <v>10</v>
      </c>
      <c r="AE12" s="63">
        <v>0</v>
      </c>
      <c r="AF12" s="63">
        <v>0</v>
      </c>
      <c r="AG12" s="370"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383">
        <f ca="1">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10</v>
      </c>
      <c r="AI12" s="384">
        <f ca="1">IF(AH12="Check Data ⚠","Check Data ⚠",IFERROR(VLOOKUP(AH12,'G-4 Temporal multipliers'!$A$4:$C$36,3,FALSE),""))</f>
        <v>0.70028227419999989</v>
      </c>
      <c r="AJ12" s="362" t="str">
        <f>IF(S12="","",VLOOKUP(S12,'G-3 Multipliers'!$A$2:$E$134,4,FALSE))</f>
        <v>Low</v>
      </c>
      <c r="AK12" s="370" t="str">
        <f ca="1">IF(E12="","",IF(AG12="Check details - Is there evidence that habitat has reached target condition? ⚠","Low Difficulty - only applicable if all habitat created before losses ⚠","Standard difficulty applied"))</f>
        <v>Standard difficulty applied</v>
      </c>
      <c r="AL12" s="370" t="str">
        <f ca="1">(IF(AND(AK12="Standard difficulty applied",AD12&gt;AE12),AJ12,IF(AND(AK12="Low Difficulty - only applicable if all habitat created before losses ⚠",AE12&gt;=AD12),"Low", AJ12)))</f>
        <v>Low</v>
      </c>
      <c r="AM12" s="401">
        <f ca="1">IFERROR(IF(F12="","",IF(AH12="Check Data ⚠","Check Data ⚠",VLOOKUP(AL12, 'G-3 Multipliers'!$P$2:$Q$6,2,FALSE))),"")</f>
        <v>1</v>
      </c>
      <c r="AN12" s="376">
        <f ca="1">IFERROR(((((V12*X12*Z12)-(V12*I12*K12))*(AM12*AI12))+(V12*I12*K12))*(AC12),"")</f>
        <v>29.220934287739283</v>
      </c>
      <c r="AO12" s="194"/>
      <c r="AP12" s="195"/>
      <c r="AQ12" s="684"/>
    </row>
    <row r="13" spans="1:43" ht="28.5" x14ac:dyDescent="0.2">
      <c r="A13" s="35" t="str">
        <f ca="1">IF(E13="","",IF(ISNA(VLOOKUP($E13,'A-1 On-Site Habitat Baseline'!$D$1:$O$258,2,FALSE)),"",(VLOOKUP($E13,'A-1 On-Site Habitat Baseline'!$D$1:$O$258,2,FALSE))))</f>
        <v>Grassland</v>
      </c>
      <c r="B13" s="35" t="str">
        <f ca="1">IF(E13="","",IF(ISNA(VLOOKUP($E13,'A-1 On-Site Habitat Baseline'!$D$1:$O$258,3,FALSE)),"",(VLOOKUP($E13,'A-1 On-Site Habitat Baseline'!$D$1:$O$258,3,FALSE))))</f>
        <v>Modified grassland</v>
      </c>
      <c r="C13" s="35" t="str">
        <f>IFERROR(INDEX('G-8 Condition Look up'!$I$4:$I$135,MATCH(S13,'G-8 Condition Look up'!$A$4:$A$135,0)),"")</f>
        <v>Cond4</v>
      </c>
      <c r="E13" s="392">
        <f>'A-1 On-Site Habitat Baseline'!AL12</f>
        <v>16</v>
      </c>
      <c r="F13" s="382" t="str">
        <f ca="1">IF(E13="","",IF(ISNA(VLOOKUP($E13,'A-1 On-Site Habitat Baseline'!$D$1:$O$258,4,FALSE)),"",(VLOOKUP($E13,'A-1 On-Site Habitat Baseline'!$D$1:$O$258,4,FALSE))))</f>
        <v>Grassland - Modified grassland</v>
      </c>
      <c r="G13" s="382">
        <f ca="1">IF(E13="","",IF(ISNA(VLOOKUP($E13,'A-1 On-Site Habitat Baseline'!$D$1:$O$258,5,FALSE)),"",(VLOOKUP($E13,'A-1 On-Site Habitat Baseline'!$D$1:$O$258,5,FALSE))))</f>
        <v>0.11143106431936706</v>
      </c>
      <c r="H13" s="382" t="str">
        <f ca="1">IF(E13="","",IF(ISNA(VLOOKUP($E13,'A-1 On-Site Habitat Baseline'!$D$1:$O$258,6,FALSE)),"",(VLOOKUP($E13,'A-1 On-Site Habitat Baseline'!$D$1:$O$258,6,FALSE))))</f>
        <v>Low</v>
      </c>
      <c r="I13" s="382">
        <f ca="1">IF(E13="","",IF(ISNA(VLOOKUP($E13,'A-1 On-Site Habitat Baseline'!$D$1:$O$258,7,FALSE)),"",(VLOOKUP($E13,'A-1 On-Site Habitat Baseline'!$D$1:$O$258,7,FALSE))))</f>
        <v>2</v>
      </c>
      <c r="J13" s="382" t="str">
        <f ca="1">IF(E13="","",IF(ISNA(VLOOKUP($E13,'A-1 On-Site Habitat Baseline'!$D$1:$O$258,8,FALSE)),"",(VLOOKUP($E13,'A-1 On-Site Habitat Baseline'!$D$1:$O$258,8,FALSE))))</f>
        <v>Moderate</v>
      </c>
      <c r="K13" s="382">
        <f ca="1">IF(E13="","",IF(ISNA(VLOOKUP($E13,'A-1 On-Site Habitat Baseline'!$D$1:$O$258,9,FALSE)),"",(VLOOKUP($E13,'A-1 On-Site Habitat Baseline'!$D$1:$O$258,9,FALSE))))</f>
        <v>2</v>
      </c>
      <c r="L13" s="382" t="str">
        <f ca="1">IF(E13="","",IF(ISNA(VLOOKUP($E13,'A-1 On-Site Habitat Baseline'!$D$1:$O$258,11,FALSE)),"",(VLOOKUP($E13,'A-1 On-Site Habitat Baseline'!$D$1:$O$258,11,FALSE))))</f>
        <v>Low Strategic Significance</v>
      </c>
      <c r="M13" s="382">
        <f ca="1">IF(E13="","",IF(ISNA(VLOOKUP($E13,'A-1 On-Site Habitat Baseline'!$D$1:$O$258,12,FALSE)),"",(VLOOKUP($E13,'A-1 On-Site Habitat Baseline'!$D$1:$O$258,12,FALSE))))</f>
        <v>1</v>
      </c>
      <c r="N13" s="393">
        <f ca="1">IF(E13="","",IF(ISNA(VLOOKUP($E13,'A-1 On-Site Habitat Baseline'!$D$1:$X$258,14,FALSE)),"",(VLOOKUP($E13,'A-1 On-Site Habitat Baseline'!$D$1:$X$258,14,FALSE))))</f>
        <v>0.44572425727746823</v>
      </c>
      <c r="O13" s="386" t="str">
        <f ca="1">IF(E13="","",IF(ISNA(VLOOKUP($E13,'A-1 On-Site Habitat Baseline'!$D$1:$X$258,16,FALSE)),"",(VLOOKUP($E13,'A-1 On-Site Habitat Baseline'!$D$1:$X$258,13,FALSE))))</f>
        <v>Same distinctiveness or better habitat required ≥</v>
      </c>
      <c r="P13" s="192" t="str">
        <f>IFERROR(INDEX('G-1 All Habitats'!$AG$3:$AG$17,MATCH(Q13,'G-1 All Habitats'!$AF$3:$AF$17,0)),"")</f>
        <v>Grassland</v>
      </c>
      <c r="Q13" s="193" t="s">
        <v>125</v>
      </c>
      <c r="R13" s="193" t="s">
        <v>547</v>
      </c>
      <c r="S13" s="306" t="str">
        <f>IFERROR(INDEX('G-1 All Habitats'!$B$3:$B$134,MATCH(R13,'G-1 All Habitats'!$A$3:$A$134,0)),"")</f>
        <v>Grassland - Other neutral grassland</v>
      </c>
      <c r="T13" s="362" t="str">
        <f t="shared" ref="T13:T76" ca="1" si="1">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Low - Medium</v>
      </c>
      <c r="U13" s="363" t="str">
        <f t="shared" ref="U13:U76" ca="1" si="2">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Lower Distinctiveness Habitat - Moderate</v>
      </c>
      <c r="V13" s="398">
        <f t="shared" ref="V13:V75" si="3">IF(S13="","",VLOOKUP(E13,BaselineHabSite,17,FALSE))</f>
        <v>0.11143106431936706</v>
      </c>
      <c r="W13" s="382" t="str">
        <f>IF(S13="","",VLOOKUP(S13,'G-1 All Habitats'!$B$2:$M$134,10,FALSE))</f>
        <v>Medium</v>
      </c>
      <c r="X13" s="382">
        <f>IFERROR(VLOOKUP(W13,'G-1 All Habitats'!$V$3:$W$7,2,FALSE),"")</f>
        <v>4</v>
      </c>
      <c r="Y13" s="61" t="s">
        <v>67</v>
      </c>
      <c r="Z13" s="386">
        <f>IFERROR(INDEX('G-8 Condition Look up'!$A$3:$H$135,MATCH(S13,'G-8 Condition Look up'!$A$3:$A$135,0),MATCH(Y13,'G-8 Condition Look up'!$A$3:$H$3,0)),"")</f>
        <v>2</v>
      </c>
      <c r="AA13" s="54" t="s">
        <v>1037</v>
      </c>
      <c r="AB13" s="382" t="str">
        <f>IF(AA13="","",IF(VLOOKUP(AA13,'G-3 Multipliers'!$L$3:$N$6,2,FALSE)=0,"Spatial Data Missing ⚠",VLOOKUP(AA13,'G-3 Multipliers'!$L$3:$N$6,2,FALSE)))</f>
        <v>Low Strategic Significance</v>
      </c>
      <c r="AC13" s="386">
        <f>IF(AA13="","",IF(VLOOKUP(AA13,'G-3 Multipliers'!$L$3:$N$6,3,FALSE)=0,"Spatial Data Missing ⚠",VLOOKUP(AA13,'G-3 Multipliers'!$L$3:$N$6,3,FALSE)))</f>
        <v>1</v>
      </c>
      <c r="AD13" s="400">
        <f t="shared" ca="1" si="0"/>
        <v>10</v>
      </c>
      <c r="AE13" s="63">
        <v>0</v>
      </c>
      <c r="AF13" s="63">
        <v>0</v>
      </c>
      <c r="AG13" s="370" t="str">
        <f t="shared" ref="AG13:AG76" ca="1" si="4">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383">
        <f t="shared" ref="AH13:AH76" ca="1" si="5">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10</v>
      </c>
      <c r="AI13" s="384">
        <f ca="1">IF(AH13="Check Data","Check Data",IFERROR(VLOOKUP(AH13,'G-4 Temporal multipliers'!$A$4:$C$36,3,FALSE),""))</f>
        <v>0.70028227419999989</v>
      </c>
      <c r="AJ13" s="362" t="str">
        <f>IF(S13="","",VLOOKUP(S13,'G-3 Multipliers'!$A$2:$E$134,4,FALSE))</f>
        <v>Low</v>
      </c>
      <c r="AK13" s="370" t="str">
        <f t="shared" ref="AK13:AK76" ca="1" si="6">IF(E13="","",IF(AG13="Check details - Is there evidence that habitat has reached target condition? ⚠","Low Difficulty - only applicable if all habitat created before losses ⚠","Standard difficulty applied"))</f>
        <v>Standard difficulty applied</v>
      </c>
      <c r="AL13" s="370" t="str">
        <f t="shared" ref="AL13:AL76" ca="1" si="7">(IF(AND(AK13="Standard difficulty applied",AD13&gt;AE13),AJ13,IF(AND(AK13="Low Difficulty - only applicable if all habitat created before losses ⚠",AE13&gt;=AD13),"Low", AJ13)))</f>
        <v>Low</v>
      </c>
      <c r="AM13" s="401">
        <f ca="1">IFERROR(IF(F13="","",IF(AH13="Check Data ⚠","Check Data ⚠",VLOOKUP(AL13, 'G-3 Multipliers'!$P$2:$Q$6,2,FALSE))),"")</f>
        <v>1</v>
      </c>
      <c r="AN13" s="376">
        <f t="shared" ref="AN13:AN76" ca="1" si="8">IFERROR(((((V13*X13*Z13)-(V13*I13*K13))*(AM13*AI13))+(V13*I13*K13))*(AC13),"")</f>
        <v>0.75785705382983948</v>
      </c>
      <c r="AO13" s="194"/>
      <c r="AP13" s="195"/>
      <c r="AQ13" s="685"/>
    </row>
    <row r="14" spans="1:43" ht="28.5" x14ac:dyDescent="0.2">
      <c r="A14" s="35" t="str">
        <f ca="1">IF(E14="","",IF(ISNA(VLOOKUP($E14,'A-1 On-Site Habitat Baseline'!$D$1:$O$258,2,FALSE)),"",(VLOOKUP($E14,'A-1 On-Site Habitat Baseline'!$D$1:$O$258,2,FALSE))))</f>
        <v>Grassland</v>
      </c>
      <c r="B14" s="35" t="str">
        <f ca="1">IF(E14="","",IF(ISNA(VLOOKUP($E14,'A-1 On-Site Habitat Baseline'!$D$1:$O$258,3,FALSE)),"",(VLOOKUP($E14,'A-1 On-Site Habitat Baseline'!$D$1:$O$258,3,FALSE))))</f>
        <v>Modified grassland</v>
      </c>
      <c r="C14" s="35" t="str">
        <f>IFERROR(INDEX('G-8 Condition Look up'!$I$4:$I$135,MATCH(S14,'G-8 Condition Look up'!$A$4:$A$135,0)),"")</f>
        <v>Cond4</v>
      </c>
      <c r="E14" s="392">
        <f>'A-1 On-Site Habitat Baseline'!AL13</f>
        <v>17</v>
      </c>
      <c r="F14" s="382" t="str">
        <f ca="1">IF(E14="","",IF(ISNA(VLOOKUP($E14,'A-1 On-Site Habitat Baseline'!$D$1:$O$258,4,FALSE)),"",(VLOOKUP($E14,'A-1 On-Site Habitat Baseline'!$D$1:$O$258,4,FALSE))))</f>
        <v>Grassland - Modified grassland</v>
      </c>
      <c r="G14" s="382">
        <f ca="1">IF(E14="","",IF(ISNA(VLOOKUP($E14,'A-1 On-Site Habitat Baseline'!$D$1:$O$258,5,FALSE)),"",(VLOOKUP($E14,'A-1 On-Site Habitat Baseline'!$D$1:$O$258,5,FALSE))))</f>
        <v>2.4006197583792392</v>
      </c>
      <c r="H14" s="382" t="str">
        <f ca="1">IF(E14="","",IF(ISNA(VLOOKUP($E14,'A-1 On-Site Habitat Baseline'!$D$1:$O$258,6,FALSE)),"",(VLOOKUP($E14,'A-1 On-Site Habitat Baseline'!$D$1:$O$258,6,FALSE))))</f>
        <v>Low</v>
      </c>
      <c r="I14" s="382">
        <f ca="1">IF(E14="","",IF(ISNA(VLOOKUP($E14,'A-1 On-Site Habitat Baseline'!$D$1:$O$258,7,FALSE)),"",(VLOOKUP($E14,'A-1 On-Site Habitat Baseline'!$D$1:$O$258,7,FALSE))))</f>
        <v>2</v>
      </c>
      <c r="J14" s="382" t="str">
        <f ca="1">IF(E14="","",IF(ISNA(VLOOKUP($E14,'A-1 On-Site Habitat Baseline'!$D$1:$O$258,8,FALSE)),"",(VLOOKUP($E14,'A-1 On-Site Habitat Baseline'!$D$1:$O$258,8,FALSE))))</f>
        <v>Poor</v>
      </c>
      <c r="K14" s="382">
        <f ca="1">IF(E14="","",IF(ISNA(VLOOKUP($E14,'A-1 On-Site Habitat Baseline'!$D$1:$O$258,9,FALSE)),"",(VLOOKUP($E14,'A-1 On-Site Habitat Baseline'!$D$1:$O$258,9,FALSE))))</f>
        <v>1</v>
      </c>
      <c r="L14" s="382" t="str">
        <f ca="1">IF(E14="","",IF(ISNA(VLOOKUP($E14,'A-1 On-Site Habitat Baseline'!$D$1:$O$258,11,FALSE)),"",(VLOOKUP($E14,'A-1 On-Site Habitat Baseline'!$D$1:$O$258,11,FALSE))))</f>
        <v>Low Strategic Significance</v>
      </c>
      <c r="M14" s="382">
        <f ca="1">IF(E14="","",IF(ISNA(VLOOKUP($E14,'A-1 On-Site Habitat Baseline'!$D$1:$O$258,12,FALSE)),"",(VLOOKUP($E14,'A-1 On-Site Habitat Baseline'!$D$1:$O$258,12,FALSE))))</f>
        <v>1</v>
      </c>
      <c r="N14" s="393">
        <f ca="1">IF(E14="","",IF(ISNA(VLOOKUP($E14,'A-1 On-Site Habitat Baseline'!$D$1:$X$258,14,FALSE)),"",(VLOOKUP($E14,'A-1 On-Site Habitat Baseline'!$D$1:$X$258,14,FALSE))))</f>
        <v>4.8012395167584785</v>
      </c>
      <c r="O14" s="386" t="str">
        <f ca="1">IF(E14="","",IF(ISNA(VLOOKUP($E14,'A-1 On-Site Habitat Baseline'!$D$1:$X$258,16,FALSE)),"",(VLOOKUP($E14,'A-1 On-Site Habitat Baseline'!$D$1:$X$258,13,FALSE))))</f>
        <v>Same distinctiveness or better habitat required ≥</v>
      </c>
      <c r="P14" s="192" t="str">
        <f>IFERROR(INDEX('G-1 All Habitats'!$AG$3:$AG$17,MATCH(Q14,'G-1 All Habitats'!$AF$3:$AF$17,0)),"")</f>
        <v>Grassland</v>
      </c>
      <c r="Q14" s="193" t="s">
        <v>125</v>
      </c>
      <c r="R14" s="193" t="s">
        <v>547</v>
      </c>
      <c r="S14" s="306" t="str">
        <f>IFERROR(INDEX('G-1 All Habitats'!$B$3:$B$134,MATCH(R14,'G-1 All Habitats'!$A$3:$A$134,0)),"")</f>
        <v>Grassland - Other neutral grassland</v>
      </c>
      <c r="T14" s="362" t="str">
        <f t="shared" ca="1" si="1"/>
        <v>Low - Medium</v>
      </c>
      <c r="U14" s="363" t="str">
        <f t="shared" ca="1" si="2"/>
        <v>Lower Distinctiveness Habitat - Good</v>
      </c>
      <c r="V14" s="398">
        <f t="shared" si="3"/>
        <v>2.4006197583792392</v>
      </c>
      <c r="W14" s="382" t="str">
        <f>IF(S14="","",VLOOKUP(S14,'G-1 All Habitats'!$B$2:$M$134,10,FALSE))</f>
        <v>Medium</v>
      </c>
      <c r="X14" s="382">
        <f>IFERROR(VLOOKUP(W14,'G-1 All Habitats'!$V$3:$W$7,2,FALSE),"")</f>
        <v>4</v>
      </c>
      <c r="Y14" s="61" t="s">
        <v>68</v>
      </c>
      <c r="Z14" s="386">
        <f>IFERROR(INDEX('G-8 Condition Look up'!$A$3:$H$135,MATCH(S14,'G-8 Condition Look up'!$A$3:$A$135,0),MATCH(Y14,'G-8 Condition Look up'!$A$3:$H$3,0)),"")</f>
        <v>3</v>
      </c>
      <c r="AA14" s="54" t="s">
        <v>1037</v>
      </c>
      <c r="AB14" s="382" t="str">
        <f>IF(AA14="","",IF(VLOOKUP(AA14,'G-3 Multipliers'!$L$3:$N$6,2,FALSE)=0,"Spatial Data Missing ⚠",VLOOKUP(AA14,'G-3 Multipliers'!$L$3:$N$6,2,FALSE)))</f>
        <v>Low Strategic Significance</v>
      </c>
      <c r="AC14" s="386">
        <f>IF(AA14="","",IF(VLOOKUP(AA14,'G-3 Multipliers'!$L$3:$N$6,3,FALSE)=0,"Spatial Data Missing ⚠",VLOOKUP(AA14,'G-3 Multipliers'!$L$3:$N$6,3,FALSE)))</f>
        <v>1</v>
      </c>
      <c r="AD14" s="400">
        <f t="shared" ca="1" si="0"/>
        <v>15</v>
      </c>
      <c r="AE14" s="63">
        <v>0</v>
      </c>
      <c r="AF14" s="63">
        <v>0</v>
      </c>
      <c r="AG14" s="370" t="str">
        <f t="shared" ca="1" si="4"/>
        <v>Standard time to target condition applied</v>
      </c>
      <c r="AH14" s="383">
        <f t="shared" ca="1" si="5"/>
        <v>15</v>
      </c>
      <c r="AI14" s="384">
        <f ca="1">IF(AH14="Check Data","Check Data",IFERROR(VLOOKUP(AH14,'G-4 Temporal multipliers'!$A$4:$C$36,3,FALSE),""))</f>
        <v>0.58601630550000006</v>
      </c>
      <c r="AJ14" s="362" t="str">
        <f>IF(S14="","",VLOOKUP(S14,'G-3 Multipliers'!$A$2:$E$134,4,FALSE))</f>
        <v>Low</v>
      </c>
      <c r="AK14" s="370" t="str">
        <f t="shared" ca="1" si="6"/>
        <v>Standard difficulty applied</v>
      </c>
      <c r="AL14" s="370" t="str">
        <f t="shared" ca="1" si="7"/>
        <v>Low</v>
      </c>
      <c r="AM14" s="401">
        <f ca="1">IFERROR(IF(F14="","",IF(AH14="Check Data ⚠","Check Data ⚠",VLOOKUP(AL14, 'G-3 Multipliers'!$P$2:$Q$6,2,FALSE))),"")</f>
        <v>1</v>
      </c>
      <c r="AN14" s="376">
        <f t="shared" ca="1" si="8"/>
        <v>18.869262733915527</v>
      </c>
      <c r="AO14" s="194"/>
      <c r="AP14" s="195"/>
      <c r="AQ14" s="685"/>
    </row>
    <row r="15" spans="1:43" ht="28.5" x14ac:dyDescent="0.2">
      <c r="A15" s="35" t="str">
        <f ca="1">IF(E15="","",IF(ISNA(VLOOKUP($E15,'A-1 On-Site Habitat Baseline'!$D$1:$O$258,2,FALSE)),"",(VLOOKUP($E15,'A-1 On-Site Habitat Baseline'!$D$1:$O$258,2,FALSE))))</f>
        <v>Grassland</v>
      </c>
      <c r="B15" s="35" t="str">
        <f ca="1">IF(E15="","",IF(ISNA(VLOOKUP($E15,'A-1 On-Site Habitat Baseline'!$D$1:$O$258,3,FALSE)),"",(VLOOKUP($E15,'A-1 On-Site Habitat Baseline'!$D$1:$O$258,3,FALSE))))</f>
        <v>Modified grassland</v>
      </c>
      <c r="C15" s="35" t="str">
        <f>IFERROR(INDEX('G-8 Condition Look up'!$I$4:$I$135,MATCH(S15,'G-8 Condition Look up'!$A$4:$A$135,0)),"")</f>
        <v>Cond4</v>
      </c>
      <c r="E15" s="392">
        <f>'A-1 On-Site Habitat Baseline'!AL14</f>
        <v>18</v>
      </c>
      <c r="F15" s="382" t="str">
        <f ca="1">IF(E15="","",IF(ISNA(VLOOKUP($E15,'A-1 On-Site Habitat Baseline'!$D$1:$O$258,4,FALSE)),"",(VLOOKUP($E15,'A-1 On-Site Habitat Baseline'!$D$1:$O$258,4,FALSE))))</f>
        <v>Grassland - Modified grassland</v>
      </c>
      <c r="G15" s="382">
        <f ca="1">IF(E15="","",IF(ISNA(VLOOKUP($E15,'A-1 On-Site Habitat Baseline'!$D$1:$O$258,5,FALSE)),"",(VLOOKUP($E15,'A-1 On-Site Habitat Baseline'!$D$1:$O$258,5,FALSE))))</f>
        <v>4.1871810591474494</v>
      </c>
      <c r="H15" s="382" t="str">
        <f ca="1">IF(E15="","",IF(ISNA(VLOOKUP($E15,'A-1 On-Site Habitat Baseline'!$D$1:$O$258,6,FALSE)),"",(VLOOKUP($E15,'A-1 On-Site Habitat Baseline'!$D$1:$O$258,6,FALSE))))</f>
        <v>Low</v>
      </c>
      <c r="I15" s="382">
        <f ca="1">IF(E15="","",IF(ISNA(VLOOKUP($E15,'A-1 On-Site Habitat Baseline'!$D$1:$O$258,7,FALSE)),"",(VLOOKUP($E15,'A-1 On-Site Habitat Baseline'!$D$1:$O$258,7,FALSE))))</f>
        <v>2</v>
      </c>
      <c r="J15" s="382" t="str">
        <f ca="1">IF(E15="","",IF(ISNA(VLOOKUP($E15,'A-1 On-Site Habitat Baseline'!$D$1:$O$258,8,FALSE)),"",(VLOOKUP($E15,'A-1 On-Site Habitat Baseline'!$D$1:$O$258,8,FALSE))))</f>
        <v>Poor</v>
      </c>
      <c r="K15" s="382">
        <f ca="1">IF(E15="","",IF(ISNA(VLOOKUP($E15,'A-1 On-Site Habitat Baseline'!$D$1:$O$258,9,FALSE)),"",(VLOOKUP($E15,'A-1 On-Site Habitat Baseline'!$D$1:$O$258,9,FALSE))))</f>
        <v>1</v>
      </c>
      <c r="L15" s="382" t="str">
        <f ca="1">IF(E15="","",IF(ISNA(VLOOKUP($E15,'A-1 On-Site Habitat Baseline'!$D$1:$O$258,11,FALSE)),"",(VLOOKUP($E15,'A-1 On-Site Habitat Baseline'!$D$1:$O$258,11,FALSE))))</f>
        <v>Low Strategic Significance</v>
      </c>
      <c r="M15" s="382">
        <f ca="1">IF(E15="","",IF(ISNA(VLOOKUP($E15,'A-1 On-Site Habitat Baseline'!$D$1:$O$258,12,FALSE)),"",(VLOOKUP($E15,'A-1 On-Site Habitat Baseline'!$D$1:$O$258,12,FALSE))))</f>
        <v>1</v>
      </c>
      <c r="N15" s="393">
        <f ca="1">IF(E15="","",IF(ISNA(VLOOKUP($E15,'A-1 On-Site Habitat Baseline'!$D$1:$X$258,14,FALSE)),"",(VLOOKUP($E15,'A-1 On-Site Habitat Baseline'!$D$1:$X$258,14,FALSE))))</f>
        <v>8.3743621182948988</v>
      </c>
      <c r="O15" s="386" t="str">
        <f ca="1">IF(E15="","",IF(ISNA(VLOOKUP($E15,'A-1 On-Site Habitat Baseline'!$D$1:$X$258,16,FALSE)),"",(VLOOKUP($E15,'A-1 On-Site Habitat Baseline'!$D$1:$X$258,13,FALSE))))</f>
        <v>Same distinctiveness or better habitat required ≥</v>
      </c>
      <c r="P15" s="192" t="str">
        <f>IFERROR(INDEX('G-1 All Habitats'!$AG$3:$AG$17,MATCH(Q15,'G-1 All Habitats'!$AF$3:$AF$17,0)),"")</f>
        <v>Grassland</v>
      </c>
      <c r="Q15" s="193" t="s">
        <v>125</v>
      </c>
      <c r="R15" s="193" t="s">
        <v>547</v>
      </c>
      <c r="S15" s="306" t="str">
        <f>IFERROR(INDEX('G-1 All Habitats'!$B$3:$B$134,MATCH(R15,'G-1 All Habitats'!$A$3:$A$134,0)),"")</f>
        <v>Grassland - Other neutral grassland</v>
      </c>
      <c r="T15" s="362" t="str">
        <f t="shared" ca="1" si="1"/>
        <v>Low - Medium</v>
      </c>
      <c r="U15" s="363" t="str">
        <f t="shared" ca="1" si="2"/>
        <v>Lower Distinctiveness Habitat - Moderate</v>
      </c>
      <c r="V15" s="398">
        <f t="shared" si="3"/>
        <v>4.1871810591474494</v>
      </c>
      <c r="W15" s="382" t="str">
        <f>IF(S15="","",VLOOKUP(S15,'G-1 All Habitats'!$B$2:$M$134,10,FALSE))</f>
        <v>Medium</v>
      </c>
      <c r="X15" s="382">
        <f>IFERROR(VLOOKUP(W15,'G-1 All Habitats'!$V$3:$W$7,2,FALSE),"")</f>
        <v>4</v>
      </c>
      <c r="Y15" s="61" t="s">
        <v>67</v>
      </c>
      <c r="Z15" s="386">
        <f>IFERROR(INDEX('G-8 Condition Look up'!$A$3:$H$135,MATCH(S15,'G-8 Condition Look up'!$A$3:$A$135,0),MATCH(Y15,'G-8 Condition Look up'!$A$3:$H$3,0)),"")</f>
        <v>2</v>
      </c>
      <c r="AA15" s="54" t="s">
        <v>1037</v>
      </c>
      <c r="AB15" s="382" t="str">
        <f>IF(AA15="","",IF(VLOOKUP(AA15,'G-3 Multipliers'!$L$3:$N$6,2,FALSE)=0,"Spatial Data Missing ⚠",VLOOKUP(AA15,'G-3 Multipliers'!$L$3:$N$6,2,FALSE)))</f>
        <v>Low Strategic Significance</v>
      </c>
      <c r="AC15" s="386">
        <f>IF(AA15="","",IF(VLOOKUP(AA15,'G-3 Multipliers'!$L$3:$N$6,3,FALSE)=0,"Spatial Data Missing ⚠",VLOOKUP(AA15,'G-3 Multipliers'!$L$3:$N$6,3,FALSE)))</f>
        <v>1</v>
      </c>
      <c r="AD15" s="400">
        <f t="shared" ca="1" si="0"/>
        <v>10</v>
      </c>
      <c r="AE15" s="63">
        <v>0</v>
      </c>
      <c r="AF15" s="63">
        <v>0</v>
      </c>
      <c r="AG15" s="370" t="str">
        <f t="shared" ca="1" si="4"/>
        <v>Standard time to target condition applied</v>
      </c>
      <c r="AH15" s="383">
        <f t="shared" ca="1" si="5"/>
        <v>10</v>
      </c>
      <c r="AI15" s="384">
        <f ca="1">IF(AH15="Check Data","Check Data",IFERROR(VLOOKUP(AH15,'G-4 Temporal multipliers'!$A$4:$C$36,3,FALSE),""))</f>
        <v>0.70028227419999989</v>
      </c>
      <c r="AJ15" s="362" t="str">
        <f>IF(S15="","",VLOOKUP(S15,'G-3 Multipliers'!$A$2:$E$134,4,FALSE))</f>
        <v>Low</v>
      </c>
      <c r="AK15" s="370" t="str">
        <f t="shared" ca="1" si="6"/>
        <v>Standard difficulty applied</v>
      </c>
      <c r="AL15" s="370" t="str">
        <f t="shared" ca="1" si="7"/>
        <v>Low</v>
      </c>
      <c r="AM15" s="401">
        <f ca="1">IFERROR(IF(F15="","",IF(AH15="Check Data ⚠","Check Data ⚠",VLOOKUP(AL15, 'G-3 Multipliers'!$P$2:$Q$6,2,FALSE))),"")</f>
        <v>1</v>
      </c>
      <c r="AN15" s="376">
        <f t="shared" ca="1" si="8"/>
        <v>25.967614165816542</v>
      </c>
      <c r="AO15" s="194"/>
      <c r="AP15" s="195"/>
      <c r="AQ15" s="685"/>
    </row>
    <row r="16" spans="1:43" ht="28.5" x14ac:dyDescent="0.2">
      <c r="A16" s="35" t="str">
        <f ca="1">IF(E16="","",IF(ISNA(VLOOKUP($E16,'A-1 On-Site Habitat Baseline'!$D$1:$O$258,2,FALSE)),"",(VLOOKUP($E16,'A-1 On-Site Habitat Baseline'!$D$1:$O$258,2,FALSE))))</f>
        <v>Grassland</v>
      </c>
      <c r="B16" s="35" t="str">
        <f ca="1">IF(E16="","",IF(ISNA(VLOOKUP($E16,'A-1 On-Site Habitat Baseline'!$D$1:$O$258,3,FALSE)),"",(VLOOKUP($E16,'A-1 On-Site Habitat Baseline'!$D$1:$O$258,3,FALSE))))</f>
        <v>Modified grassland</v>
      </c>
      <c r="C16" s="35" t="str">
        <f>IFERROR(INDEX('G-8 Condition Look up'!$I$4:$I$135,MATCH(S16,'G-8 Condition Look up'!$A$4:$A$135,0)),"")</f>
        <v>Cond4</v>
      </c>
      <c r="E16" s="392">
        <f>'A-1 On-Site Habitat Baseline'!AL15</f>
        <v>32</v>
      </c>
      <c r="F16" s="382" t="str">
        <f ca="1">IF(E16="","",IF(ISNA(VLOOKUP($E16,'A-1 On-Site Habitat Baseline'!$D$1:$O$258,4,FALSE)),"",(VLOOKUP($E16,'A-1 On-Site Habitat Baseline'!$D$1:$O$258,4,FALSE))))</f>
        <v>Grassland - Modified grassland</v>
      </c>
      <c r="G16" s="382">
        <f ca="1">IF(E16="","",IF(ISNA(VLOOKUP($E16,'A-1 On-Site Habitat Baseline'!$D$1:$O$258,5,FALSE)),"",(VLOOKUP($E16,'A-1 On-Site Habitat Baseline'!$D$1:$O$258,5,FALSE))))</f>
        <v>2.2204697894014016</v>
      </c>
      <c r="H16" s="382" t="str">
        <f ca="1">IF(E16="","",IF(ISNA(VLOOKUP($E16,'A-1 On-Site Habitat Baseline'!$D$1:$O$258,6,FALSE)),"",(VLOOKUP($E16,'A-1 On-Site Habitat Baseline'!$D$1:$O$258,6,FALSE))))</f>
        <v>Low</v>
      </c>
      <c r="I16" s="382">
        <f ca="1">IF(E16="","",IF(ISNA(VLOOKUP($E16,'A-1 On-Site Habitat Baseline'!$D$1:$O$258,7,FALSE)),"",(VLOOKUP($E16,'A-1 On-Site Habitat Baseline'!$D$1:$O$258,7,FALSE))))</f>
        <v>2</v>
      </c>
      <c r="J16" s="382" t="str">
        <f ca="1">IF(E16="","",IF(ISNA(VLOOKUP($E16,'A-1 On-Site Habitat Baseline'!$D$1:$O$258,8,FALSE)),"",(VLOOKUP($E16,'A-1 On-Site Habitat Baseline'!$D$1:$O$258,8,FALSE))))</f>
        <v>Poor</v>
      </c>
      <c r="K16" s="382">
        <f ca="1">IF(E16="","",IF(ISNA(VLOOKUP($E16,'A-1 On-Site Habitat Baseline'!$D$1:$O$258,9,FALSE)),"",(VLOOKUP($E16,'A-1 On-Site Habitat Baseline'!$D$1:$O$258,9,FALSE))))</f>
        <v>1</v>
      </c>
      <c r="L16" s="382" t="str">
        <f ca="1">IF(E16="","",IF(ISNA(VLOOKUP($E16,'A-1 On-Site Habitat Baseline'!$D$1:$O$258,11,FALSE)),"",(VLOOKUP($E16,'A-1 On-Site Habitat Baseline'!$D$1:$O$258,11,FALSE))))</f>
        <v xml:space="preserve">High strategic significance </v>
      </c>
      <c r="M16" s="382">
        <f ca="1">IF(E16="","",IF(ISNA(VLOOKUP($E16,'A-1 On-Site Habitat Baseline'!$D$1:$O$258,12,FALSE)),"",(VLOOKUP($E16,'A-1 On-Site Habitat Baseline'!$D$1:$O$258,12,FALSE))))</f>
        <v>1.1499999999999999</v>
      </c>
      <c r="N16" s="393">
        <f ca="1">IF(E16="","",IF(ISNA(VLOOKUP($E16,'A-1 On-Site Habitat Baseline'!$D$1:$X$258,14,FALSE)),"",(VLOOKUP($E16,'A-1 On-Site Habitat Baseline'!$D$1:$X$258,14,FALSE))))</f>
        <v>5.1070805156232231</v>
      </c>
      <c r="O16" s="386" t="str">
        <f ca="1">IF(E16="","",IF(ISNA(VLOOKUP($E16,'A-1 On-Site Habitat Baseline'!$D$1:$X$258,16,FALSE)),"",(VLOOKUP($E16,'A-1 On-Site Habitat Baseline'!$D$1:$X$258,13,FALSE))))</f>
        <v>Same distinctiveness or better habitat required ≥</v>
      </c>
      <c r="P16" s="192" t="str">
        <f>IFERROR(INDEX('G-1 All Habitats'!$AG$3:$AG$17,MATCH(Q16,'G-1 All Habitats'!$AF$3:$AF$17,0)),"")</f>
        <v>Grassland</v>
      </c>
      <c r="Q16" s="193" t="s">
        <v>125</v>
      </c>
      <c r="R16" s="193" t="s">
        <v>540</v>
      </c>
      <c r="S16" s="306" t="str">
        <f>IFERROR(INDEX('G-1 All Habitats'!$B$3:$B$134,MATCH(R16,'G-1 All Habitats'!$A$3:$A$134,0)),"")</f>
        <v>Grassland - Modified grassland</v>
      </c>
      <c r="T16" s="362" t="str">
        <f t="shared" ca="1" si="1"/>
        <v>Low - Low</v>
      </c>
      <c r="U16" s="363" t="str">
        <f t="shared" ca="1" si="2"/>
        <v>Poor - Moderate</v>
      </c>
      <c r="V16" s="398">
        <f t="shared" si="3"/>
        <v>2.2204697894014016</v>
      </c>
      <c r="W16" s="382" t="str">
        <f>IF(S16="","",VLOOKUP(S16,'G-1 All Habitats'!$B$2:$M$134,10,FALSE))</f>
        <v>Low</v>
      </c>
      <c r="X16" s="382">
        <f>IFERROR(VLOOKUP(W16,'G-1 All Habitats'!$V$3:$W$7,2,FALSE),"")</f>
        <v>2</v>
      </c>
      <c r="Y16" s="61" t="s">
        <v>67</v>
      </c>
      <c r="Z16" s="386">
        <f>IFERROR(INDEX('G-8 Condition Look up'!$A$3:$H$135,MATCH(S16,'G-8 Condition Look up'!$A$3:$A$135,0),MATCH(Y16,'G-8 Condition Look up'!$A$3:$H$3,0)),"")</f>
        <v>2</v>
      </c>
      <c r="AA16" s="54" t="s">
        <v>1029</v>
      </c>
      <c r="AB16" s="382" t="str">
        <f>IF(AA16="","",IF(VLOOKUP(AA16,'G-3 Multipliers'!$L$3:$N$6,2,FALSE)=0,"Spatial Data Missing ⚠",VLOOKUP(AA16,'G-3 Multipliers'!$L$3:$N$6,2,FALSE)))</f>
        <v xml:space="preserve">High strategic significance </v>
      </c>
      <c r="AC16" s="386">
        <f>IF(AA16="","",IF(VLOOKUP(AA16,'G-3 Multipliers'!$L$3:$N$6,3,FALSE)=0,"Spatial Data Missing ⚠",VLOOKUP(AA16,'G-3 Multipliers'!$L$3:$N$6,3,FALSE)))</f>
        <v>1.1499999999999999</v>
      </c>
      <c r="AD16" s="400">
        <f t="shared" ca="1" si="0"/>
        <v>10</v>
      </c>
      <c r="AE16" s="63">
        <v>0</v>
      </c>
      <c r="AF16" s="63">
        <v>0</v>
      </c>
      <c r="AG16" s="370" t="str">
        <f t="shared" ca="1" si="4"/>
        <v>Standard time to target condition applied</v>
      </c>
      <c r="AH16" s="383">
        <f t="shared" ca="1" si="5"/>
        <v>10</v>
      </c>
      <c r="AI16" s="384">
        <f ca="1">IF(AH16="Check Data","Check Data",IFERROR(VLOOKUP(AH16,'G-4 Temporal multipliers'!$A$4:$C$36,3,FALSE),""))</f>
        <v>0.70028227419999989</v>
      </c>
      <c r="AJ16" s="362" t="str">
        <f>IF(S16="","",VLOOKUP(S16,'G-3 Multipliers'!$A$2:$E$134,4,FALSE))</f>
        <v>Low</v>
      </c>
      <c r="AK16" s="370" t="str">
        <f t="shared" ca="1" si="6"/>
        <v>Standard difficulty applied</v>
      </c>
      <c r="AL16" s="370" t="str">
        <f t="shared" ca="1" si="7"/>
        <v>Low</v>
      </c>
      <c r="AM16" s="401">
        <f ca="1">IFERROR(IF(F16="","",IF(AH16="Check Data ⚠","Check Data ⚠",VLOOKUP(AL16, 'G-3 Multipliers'!$P$2:$Q$6,2,FALSE))),"")</f>
        <v>1</v>
      </c>
      <c r="AN16" s="376">
        <f t="shared" ca="1" si="8"/>
        <v>8.6834784736263622</v>
      </c>
      <c r="AO16" s="194"/>
      <c r="AP16" s="195"/>
      <c r="AQ16" s="685"/>
    </row>
    <row r="17" spans="1:43" ht="28.5" x14ac:dyDescent="0.2">
      <c r="A17" s="35" t="str">
        <f ca="1">IF(E17="","",IF(ISNA(VLOOKUP($E17,'A-1 On-Site Habitat Baseline'!$D$1:$O$258,2,FALSE)),"",(VLOOKUP($E17,'A-1 On-Site Habitat Baseline'!$D$1:$O$258,2,FALSE))))</f>
        <v>Grassland</v>
      </c>
      <c r="B17" s="35" t="str">
        <f ca="1">IF(E17="","",IF(ISNA(VLOOKUP($E17,'A-1 On-Site Habitat Baseline'!$D$1:$O$258,3,FALSE)),"",(VLOOKUP($E17,'A-1 On-Site Habitat Baseline'!$D$1:$O$258,3,FALSE))))</f>
        <v>Modified grassland</v>
      </c>
      <c r="C17" s="35" t="str">
        <f>IFERROR(INDEX('G-8 Condition Look up'!$I$4:$I$135,MATCH(S17,'G-8 Condition Look up'!$A$4:$A$135,0)),"")</f>
        <v>Cond4</v>
      </c>
      <c r="E17" s="392">
        <f>'A-1 On-Site Habitat Baseline'!AL16</f>
        <v>33</v>
      </c>
      <c r="F17" s="382" t="str">
        <f ca="1">IF(E17="","",IF(ISNA(VLOOKUP($E17,'A-1 On-Site Habitat Baseline'!$D$1:$O$258,4,FALSE)),"",(VLOOKUP($E17,'A-1 On-Site Habitat Baseline'!$D$1:$O$258,4,FALSE))))</f>
        <v>Grassland - Modified grassland</v>
      </c>
      <c r="G17" s="382">
        <f ca="1">IF(E17="","",IF(ISNA(VLOOKUP($E17,'A-1 On-Site Habitat Baseline'!$D$1:$O$258,5,FALSE)),"",(VLOOKUP($E17,'A-1 On-Site Habitat Baseline'!$D$1:$O$258,5,FALSE))))</f>
        <v>2.1703000027384096</v>
      </c>
      <c r="H17" s="382" t="str">
        <f ca="1">IF(E17="","",IF(ISNA(VLOOKUP($E17,'A-1 On-Site Habitat Baseline'!$D$1:$O$258,6,FALSE)),"",(VLOOKUP($E17,'A-1 On-Site Habitat Baseline'!$D$1:$O$258,6,FALSE))))</f>
        <v>Low</v>
      </c>
      <c r="I17" s="382">
        <f ca="1">IF(E17="","",IF(ISNA(VLOOKUP($E17,'A-1 On-Site Habitat Baseline'!$D$1:$O$258,7,FALSE)),"",(VLOOKUP($E17,'A-1 On-Site Habitat Baseline'!$D$1:$O$258,7,FALSE))))</f>
        <v>2</v>
      </c>
      <c r="J17" s="382" t="str">
        <f ca="1">IF(E17="","",IF(ISNA(VLOOKUP($E17,'A-1 On-Site Habitat Baseline'!$D$1:$O$258,8,FALSE)),"",(VLOOKUP($E17,'A-1 On-Site Habitat Baseline'!$D$1:$O$258,8,FALSE))))</f>
        <v>Poor</v>
      </c>
      <c r="K17" s="382">
        <f ca="1">IF(E17="","",IF(ISNA(VLOOKUP($E17,'A-1 On-Site Habitat Baseline'!$D$1:$O$258,9,FALSE)),"",(VLOOKUP($E17,'A-1 On-Site Habitat Baseline'!$D$1:$O$258,9,FALSE))))</f>
        <v>1</v>
      </c>
      <c r="L17" s="382" t="str">
        <f ca="1">IF(E17="","",IF(ISNA(VLOOKUP($E17,'A-1 On-Site Habitat Baseline'!$D$1:$O$258,11,FALSE)),"",(VLOOKUP($E17,'A-1 On-Site Habitat Baseline'!$D$1:$O$258,11,FALSE))))</f>
        <v xml:space="preserve">High strategic significance </v>
      </c>
      <c r="M17" s="382">
        <f ca="1">IF(E17="","",IF(ISNA(VLOOKUP($E17,'A-1 On-Site Habitat Baseline'!$D$1:$O$258,12,FALSE)),"",(VLOOKUP($E17,'A-1 On-Site Habitat Baseline'!$D$1:$O$258,12,FALSE))))</f>
        <v>1.1499999999999999</v>
      </c>
      <c r="N17" s="393">
        <f ca="1">IF(E17="","",IF(ISNA(VLOOKUP($E17,'A-1 On-Site Habitat Baseline'!$D$1:$X$258,14,FALSE)),"",(VLOOKUP($E17,'A-1 On-Site Habitat Baseline'!$D$1:$X$258,14,FALSE))))</f>
        <v>4.9916900062983416</v>
      </c>
      <c r="O17" s="386" t="str">
        <f ca="1">IF(E17="","",IF(ISNA(VLOOKUP($E17,'A-1 On-Site Habitat Baseline'!$D$1:$X$258,16,FALSE)),"",(VLOOKUP($E17,'A-1 On-Site Habitat Baseline'!$D$1:$X$258,13,FALSE))))</f>
        <v>Same distinctiveness or better habitat required ≥</v>
      </c>
      <c r="P17" s="192" t="str">
        <f>IFERROR(INDEX('G-1 All Habitats'!$AG$3:$AG$17,MATCH(Q17,'G-1 All Habitats'!$AF$3:$AF$17,0)),"")</f>
        <v>Grassland</v>
      </c>
      <c r="Q17" s="193" t="s">
        <v>125</v>
      </c>
      <c r="R17" s="193" t="s">
        <v>547</v>
      </c>
      <c r="S17" s="306" t="str">
        <f>IFERROR(INDEX('G-1 All Habitats'!$B$3:$B$134,MATCH(R17,'G-1 All Habitats'!$A$3:$A$134,0)),"")</f>
        <v>Grassland - Other neutral grassland</v>
      </c>
      <c r="T17" s="362" t="str">
        <f t="shared" ca="1" si="1"/>
        <v>Low - Medium</v>
      </c>
      <c r="U17" s="363" t="str">
        <f t="shared" ca="1" si="2"/>
        <v>Lower Distinctiveness Habitat - Good</v>
      </c>
      <c r="V17" s="398">
        <f t="shared" si="3"/>
        <v>2.1703000027384096</v>
      </c>
      <c r="W17" s="382" t="str">
        <f>IF(S17="","",VLOOKUP(S17,'G-1 All Habitats'!$B$2:$M$134,10,FALSE))</f>
        <v>Medium</v>
      </c>
      <c r="X17" s="382">
        <f>IFERROR(VLOOKUP(W17,'G-1 All Habitats'!$V$3:$W$7,2,FALSE),"")</f>
        <v>4</v>
      </c>
      <c r="Y17" s="61" t="s">
        <v>68</v>
      </c>
      <c r="Z17" s="386">
        <f>IFERROR(INDEX('G-8 Condition Look up'!$A$3:$H$135,MATCH(S17,'G-8 Condition Look up'!$A$3:$A$135,0),MATCH(Y17,'G-8 Condition Look up'!$A$3:$H$3,0)),"")</f>
        <v>3</v>
      </c>
      <c r="AA17" s="54" t="s">
        <v>1029</v>
      </c>
      <c r="AB17" s="382" t="str">
        <f>IF(AA17="","",IF(VLOOKUP(AA17,'G-3 Multipliers'!$L$3:$N$6,2,FALSE)=0,"Spatial Data Missing ⚠",VLOOKUP(AA17,'G-3 Multipliers'!$L$3:$N$6,2,FALSE)))</f>
        <v xml:space="preserve">High strategic significance </v>
      </c>
      <c r="AC17" s="386">
        <f>IF(AA17="","",IF(VLOOKUP(AA17,'G-3 Multipliers'!$L$3:$N$6,3,FALSE)=0,"Spatial Data Missing ⚠",VLOOKUP(AA17,'G-3 Multipliers'!$L$3:$N$6,3,FALSE)))</f>
        <v>1.1499999999999999</v>
      </c>
      <c r="AD17" s="400">
        <f t="shared" ca="1" si="0"/>
        <v>15</v>
      </c>
      <c r="AE17" s="63">
        <v>0</v>
      </c>
      <c r="AF17" s="63">
        <v>0</v>
      </c>
      <c r="AG17" s="370" t="str">
        <f t="shared" ca="1" si="4"/>
        <v>Standard time to target condition applied</v>
      </c>
      <c r="AH17" s="383">
        <f t="shared" ca="1" si="5"/>
        <v>15</v>
      </c>
      <c r="AI17" s="384">
        <f ca="1">IF(AH17="Check Data","Check Data",IFERROR(VLOOKUP(AH17,'G-4 Temporal multipliers'!$A$4:$C$36,3,FALSE),""))</f>
        <v>0.58601630550000006</v>
      </c>
      <c r="AJ17" s="362" t="str">
        <f>IF(S17="","",VLOOKUP(S17,'G-3 Multipliers'!$A$2:$E$134,4,FALSE))</f>
        <v>Low</v>
      </c>
      <c r="AK17" s="370" t="str">
        <f t="shared" ca="1" si="6"/>
        <v>Standard difficulty applied</v>
      </c>
      <c r="AL17" s="370" t="str">
        <f t="shared" ca="1" si="7"/>
        <v>Low</v>
      </c>
      <c r="AM17" s="401">
        <f ca="1">IFERROR(IF(F17="","",IF(AH17="Check Data ⚠","Check Data ⚠",VLOOKUP(AL17, 'G-3 Multipliers'!$P$2:$Q$6,2,FALSE))),"")</f>
        <v>1</v>
      </c>
      <c r="AN17" s="376">
        <f t="shared" ca="1" si="8"/>
        <v>19.617748684759476</v>
      </c>
      <c r="AO17" s="194"/>
      <c r="AP17" s="195"/>
      <c r="AQ17" s="685"/>
    </row>
    <row r="18" spans="1:43" ht="28.5" x14ac:dyDescent="0.2">
      <c r="A18" s="35" t="str">
        <f ca="1">IF(E18="","",IF(ISNA(VLOOKUP($E18,'A-1 On-Site Habitat Baseline'!$D$1:$O$258,2,FALSE)),"",(VLOOKUP($E18,'A-1 On-Site Habitat Baseline'!$D$1:$O$258,2,FALSE))))</f>
        <v>Grassland</v>
      </c>
      <c r="B18" s="35" t="str">
        <f ca="1">IF(E18="","",IF(ISNA(VLOOKUP($E18,'A-1 On-Site Habitat Baseline'!$D$1:$O$258,3,FALSE)),"",(VLOOKUP($E18,'A-1 On-Site Habitat Baseline'!$D$1:$O$258,3,FALSE))))</f>
        <v>Modified grassland</v>
      </c>
      <c r="C18" s="35" t="str">
        <f>IFERROR(INDEX('G-8 Condition Look up'!$I$4:$I$135,MATCH(S18,'G-8 Condition Look up'!$A$4:$A$135,0)),"")</f>
        <v>Cond4</v>
      </c>
      <c r="E18" s="392">
        <f>'A-1 On-Site Habitat Baseline'!AL17</f>
        <v>34</v>
      </c>
      <c r="F18" s="382" t="str">
        <f ca="1">IF(E18="","",IF(ISNA(VLOOKUP($E18,'A-1 On-Site Habitat Baseline'!$D$1:$O$258,4,FALSE)),"",(VLOOKUP($E18,'A-1 On-Site Habitat Baseline'!$D$1:$O$258,4,FALSE))))</f>
        <v>Grassland - Modified grassland</v>
      </c>
      <c r="G18" s="382">
        <f ca="1">IF(E18="","",IF(ISNA(VLOOKUP($E18,'A-1 On-Site Habitat Baseline'!$D$1:$O$258,5,FALSE)),"",(VLOOKUP($E18,'A-1 On-Site Habitat Baseline'!$D$1:$O$258,5,FALSE))))</f>
        <v>1.3488785059857082</v>
      </c>
      <c r="H18" s="382" t="str">
        <f ca="1">IF(E18="","",IF(ISNA(VLOOKUP($E18,'A-1 On-Site Habitat Baseline'!$D$1:$O$258,6,FALSE)),"",(VLOOKUP($E18,'A-1 On-Site Habitat Baseline'!$D$1:$O$258,6,FALSE))))</f>
        <v>Low</v>
      </c>
      <c r="I18" s="382">
        <f ca="1">IF(E18="","",IF(ISNA(VLOOKUP($E18,'A-1 On-Site Habitat Baseline'!$D$1:$O$258,7,FALSE)),"",(VLOOKUP($E18,'A-1 On-Site Habitat Baseline'!$D$1:$O$258,7,FALSE))))</f>
        <v>2</v>
      </c>
      <c r="J18" s="382" t="str">
        <f ca="1">IF(E18="","",IF(ISNA(VLOOKUP($E18,'A-1 On-Site Habitat Baseline'!$D$1:$O$258,8,FALSE)),"",(VLOOKUP($E18,'A-1 On-Site Habitat Baseline'!$D$1:$O$258,8,FALSE))))</f>
        <v>Poor</v>
      </c>
      <c r="K18" s="382">
        <f ca="1">IF(E18="","",IF(ISNA(VLOOKUP($E18,'A-1 On-Site Habitat Baseline'!$D$1:$O$258,9,FALSE)),"",(VLOOKUP($E18,'A-1 On-Site Habitat Baseline'!$D$1:$O$258,9,FALSE))))</f>
        <v>1</v>
      </c>
      <c r="L18" s="382" t="str">
        <f ca="1">IF(E18="","",IF(ISNA(VLOOKUP($E18,'A-1 On-Site Habitat Baseline'!$D$1:$O$258,11,FALSE)),"",(VLOOKUP($E18,'A-1 On-Site Habitat Baseline'!$D$1:$O$258,11,FALSE))))</f>
        <v xml:space="preserve">High strategic significance </v>
      </c>
      <c r="M18" s="382">
        <f ca="1">IF(E18="","",IF(ISNA(VLOOKUP($E18,'A-1 On-Site Habitat Baseline'!$D$1:$O$258,12,FALSE)),"",(VLOOKUP($E18,'A-1 On-Site Habitat Baseline'!$D$1:$O$258,12,FALSE))))</f>
        <v>1.1499999999999999</v>
      </c>
      <c r="N18" s="393">
        <f ca="1">IF(E18="","",IF(ISNA(VLOOKUP($E18,'A-1 On-Site Habitat Baseline'!$D$1:$X$258,14,FALSE)),"",(VLOOKUP($E18,'A-1 On-Site Habitat Baseline'!$D$1:$X$258,14,FALSE))))</f>
        <v>3.1024205637671289</v>
      </c>
      <c r="O18" s="386" t="str">
        <f ca="1">IF(E18="","",IF(ISNA(VLOOKUP($E18,'A-1 On-Site Habitat Baseline'!$D$1:$X$258,16,FALSE)),"",(VLOOKUP($E18,'A-1 On-Site Habitat Baseline'!$D$1:$X$258,13,FALSE))))</f>
        <v>Same distinctiveness or better habitat required ≥</v>
      </c>
      <c r="P18" s="192" t="str">
        <f>IFERROR(INDEX('G-1 All Habitats'!$AG$3:$AG$17,MATCH(Q18,'G-1 All Habitats'!$AF$3:$AF$17,0)),"")</f>
        <v>Grassland</v>
      </c>
      <c r="Q18" s="193" t="s">
        <v>125</v>
      </c>
      <c r="R18" s="193" t="s">
        <v>547</v>
      </c>
      <c r="S18" s="306" t="str">
        <f>IFERROR(INDEX('G-1 All Habitats'!$B$3:$B$134,MATCH(R18,'G-1 All Habitats'!$A$3:$A$134,0)),"")</f>
        <v>Grassland - Other neutral grassland</v>
      </c>
      <c r="T18" s="362" t="str">
        <f t="shared" ca="1" si="1"/>
        <v>Low - Medium</v>
      </c>
      <c r="U18" s="363" t="str">
        <f t="shared" ca="1" si="2"/>
        <v>Lower Distinctiveness Habitat - Moderate</v>
      </c>
      <c r="V18" s="398">
        <f t="shared" si="3"/>
        <v>1.3488785059857082</v>
      </c>
      <c r="W18" s="382" t="str">
        <f>IF(S18="","",VLOOKUP(S18,'G-1 All Habitats'!$B$2:$M$134,10,FALSE))</f>
        <v>Medium</v>
      </c>
      <c r="X18" s="382">
        <f>IFERROR(VLOOKUP(W18,'G-1 All Habitats'!$V$3:$W$7,2,FALSE),"")</f>
        <v>4</v>
      </c>
      <c r="Y18" s="61" t="s">
        <v>67</v>
      </c>
      <c r="Z18" s="386">
        <f>IFERROR(INDEX('G-8 Condition Look up'!$A$3:$H$135,MATCH(S18,'G-8 Condition Look up'!$A$3:$A$135,0),MATCH(Y18,'G-8 Condition Look up'!$A$3:$H$3,0)),"")</f>
        <v>2</v>
      </c>
      <c r="AA18" s="54" t="s">
        <v>1029</v>
      </c>
      <c r="AB18" s="382" t="str">
        <f>IF(AA18="","",IF(VLOOKUP(AA18,'G-3 Multipliers'!$L$3:$N$6,2,FALSE)=0,"Spatial Data Missing ⚠",VLOOKUP(AA18,'G-3 Multipliers'!$L$3:$N$6,2,FALSE)))</f>
        <v xml:space="preserve">High strategic significance </v>
      </c>
      <c r="AC18" s="386">
        <f>IF(AA18="","",IF(VLOOKUP(AA18,'G-3 Multipliers'!$L$3:$N$6,3,FALSE)=0,"Spatial Data Missing ⚠",VLOOKUP(AA18,'G-3 Multipliers'!$L$3:$N$6,3,FALSE)))</f>
        <v>1.1499999999999999</v>
      </c>
      <c r="AD18" s="400">
        <f t="shared" ca="1" si="0"/>
        <v>10</v>
      </c>
      <c r="AE18" s="63">
        <v>0</v>
      </c>
      <c r="AF18" s="63">
        <v>0</v>
      </c>
      <c r="AG18" s="370" t="str">
        <f t="shared" ca="1" si="4"/>
        <v>Standard time to target condition applied</v>
      </c>
      <c r="AH18" s="383">
        <f t="shared" ca="1" si="5"/>
        <v>10</v>
      </c>
      <c r="AI18" s="384">
        <f ca="1">IF(AH18="Check Data","Check Data",IFERROR(VLOOKUP(AH18,'G-4 Temporal multipliers'!$A$4:$C$36,3,FALSE),""))</f>
        <v>0.70028227419999989</v>
      </c>
      <c r="AJ18" s="362" t="str">
        <f>IF(S18="","",VLOOKUP(S18,'G-3 Multipliers'!$A$2:$E$134,4,FALSE))</f>
        <v>Low</v>
      </c>
      <c r="AK18" s="370" t="str">
        <f t="shared" ca="1" si="6"/>
        <v>Standard difficulty applied</v>
      </c>
      <c r="AL18" s="370" t="str">
        <f t="shared" ca="1" si="7"/>
        <v>Low</v>
      </c>
      <c r="AM18" s="401">
        <f ca="1">IFERROR(IF(F18="","",IF(AH18="Check Data ⚠","Check Data ⚠",VLOOKUP(AL18, 'G-3 Multipliers'!$P$2:$Q$6,2,FALSE))),"")</f>
        <v>1</v>
      </c>
      <c r="AN18" s="376">
        <f t="shared" ca="1" si="8"/>
        <v>9.6201309475262011</v>
      </c>
      <c r="AO18" s="194"/>
      <c r="AP18" s="195"/>
      <c r="AQ18" s="685"/>
    </row>
    <row r="19" spans="1:43" x14ac:dyDescent="0.2">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ref="Q19:Q76" si="9">A19</f>
        <v/>
      </c>
      <c r="R19" s="193" t="str">
        <f t="shared" ref="R19:R76" si="10">B19</f>
        <v/>
      </c>
      <c r="S19" s="306" t="str">
        <f>IFERROR(INDEX('G-1 All Habitats'!$B$3:$B$134,MATCH(R19,'G-1 All Habitats'!$A$3:$A$134,0)),"")</f>
        <v/>
      </c>
      <c r="T19" s="362" t="str">
        <f t="shared" si="1"/>
        <v/>
      </c>
      <c r="U19" s="363" t="str">
        <f t="shared" si="2"/>
        <v/>
      </c>
      <c r="V19" s="398" t="str">
        <f t="shared" si="3"/>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0"/>
        <v/>
      </c>
      <c r="AE19" s="63"/>
      <c r="AF19" s="63"/>
      <c r="AG19" s="370" t="str">
        <f t="shared" si="4"/>
        <v/>
      </c>
      <c r="AH19" s="383" t="str">
        <f t="shared" si="5"/>
        <v/>
      </c>
      <c r="AI19" s="384" t="str">
        <f>IF(AH19="Check Data","Check Data",IFERROR(VLOOKUP(AH19,'G-4 Temporal multipliers'!$A$4:$C$36,3,FALSE),""))</f>
        <v/>
      </c>
      <c r="AJ19" s="362" t="str">
        <f>IF(S19="","",VLOOKUP(S19,'G-3 Multipliers'!$A$2:$E$134,4,FALSE))</f>
        <v/>
      </c>
      <c r="AK19" s="370" t="str">
        <f t="shared" si="6"/>
        <v/>
      </c>
      <c r="AL19" s="370" t="str">
        <f t="shared" si="7"/>
        <v/>
      </c>
      <c r="AM19" s="401" t="str">
        <f>IFERROR(IF(F19="","",IF(AH19="Check Data ⚠","Check Data ⚠",VLOOKUP(AL19, 'G-3 Multipliers'!$P$2:$Q$6,2,FALSE))),"")</f>
        <v/>
      </c>
      <c r="AN19" s="376" t="str">
        <f t="shared" si="8"/>
        <v/>
      </c>
      <c r="AO19" s="194"/>
      <c r="AP19" s="195"/>
      <c r="AQ19" s="685"/>
    </row>
    <row r="20" spans="1:43" x14ac:dyDescent="0.2">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9"/>
        <v/>
      </c>
      <c r="R20" s="193" t="str">
        <f t="shared" si="10"/>
        <v/>
      </c>
      <c r="S20" s="306" t="str">
        <f>IFERROR(INDEX('G-1 All Habitats'!$B$3:$B$134,MATCH(R20,'G-1 All Habitats'!$A$3:$A$134,0)),"")</f>
        <v/>
      </c>
      <c r="T20" s="362" t="str">
        <f t="shared" si="1"/>
        <v/>
      </c>
      <c r="U20" s="363" t="str">
        <f t="shared" si="2"/>
        <v/>
      </c>
      <c r="V20" s="398" t="str">
        <f t="shared" si="3"/>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0"/>
        <v/>
      </c>
      <c r="AE20" s="63"/>
      <c r="AF20" s="63"/>
      <c r="AG20" s="370" t="str">
        <f t="shared" si="4"/>
        <v/>
      </c>
      <c r="AH20" s="383" t="str">
        <f t="shared" si="5"/>
        <v/>
      </c>
      <c r="AI20" s="384" t="str">
        <f>IF(AH20="Check Data","Check Data",IFERROR(VLOOKUP(AH20,'G-4 Temporal multipliers'!$A$4:$C$36,3,FALSE),""))</f>
        <v/>
      </c>
      <c r="AJ20" s="362" t="str">
        <f>IF(S20="","",VLOOKUP(S20,'G-3 Multipliers'!$A$2:$E$134,4,FALSE))</f>
        <v/>
      </c>
      <c r="AK20" s="370" t="str">
        <f t="shared" si="6"/>
        <v/>
      </c>
      <c r="AL20" s="370" t="str">
        <f t="shared" si="7"/>
        <v/>
      </c>
      <c r="AM20" s="401" t="str">
        <f>IFERROR(IF(F20="","",IF(AH20="Check Data ⚠","Check Data ⚠",VLOOKUP(AL20, 'G-3 Multipliers'!$P$2:$Q$6,2,FALSE))),"")</f>
        <v/>
      </c>
      <c r="AN20" s="376" t="str">
        <f t="shared" si="8"/>
        <v/>
      </c>
      <c r="AO20" s="194"/>
      <c r="AP20" s="195"/>
      <c r="AQ20" s="685"/>
    </row>
    <row r="21" spans="1:43" x14ac:dyDescent="0.2">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9"/>
        <v/>
      </c>
      <c r="R21" s="193" t="str">
        <f t="shared" si="10"/>
        <v/>
      </c>
      <c r="S21" s="306" t="str">
        <f>IFERROR(INDEX('G-1 All Habitats'!$B$3:$B$134,MATCH(R21,'G-1 All Habitats'!$A$3:$A$134,0)),"")</f>
        <v/>
      </c>
      <c r="T21" s="362" t="str">
        <f t="shared" si="1"/>
        <v/>
      </c>
      <c r="U21" s="363" t="str">
        <f t="shared" si="2"/>
        <v/>
      </c>
      <c r="V21" s="398" t="str">
        <f t="shared" si="3"/>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0"/>
        <v/>
      </c>
      <c r="AE21" s="63"/>
      <c r="AF21" s="63"/>
      <c r="AG21" s="370" t="str">
        <f t="shared" si="4"/>
        <v/>
      </c>
      <c r="AH21" s="383" t="str">
        <f t="shared" si="5"/>
        <v/>
      </c>
      <c r="AI21" s="384" t="str">
        <f>IF(AH21="Check Data","Check Data",IFERROR(VLOOKUP(AH21,'G-4 Temporal multipliers'!$A$4:$C$36,3,FALSE),""))</f>
        <v/>
      </c>
      <c r="AJ21" s="362" t="str">
        <f>IF(S21="","",VLOOKUP(S21,'G-3 Multipliers'!$A$2:$E$134,4,FALSE))</f>
        <v/>
      </c>
      <c r="AK21" s="370" t="str">
        <f t="shared" si="6"/>
        <v/>
      </c>
      <c r="AL21" s="370" t="str">
        <f t="shared" si="7"/>
        <v/>
      </c>
      <c r="AM21" s="401" t="str">
        <f>IFERROR(IF(F21="","",IF(AH21="Check Data ⚠","Check Data ⚠",VLOOKUP(AL21, 'G-3 Multipliers'!$P$2:$Q$6,2,FALSE))),"")</f>
        <v/>
      </c>
      <c r="AN21" s="376" t="str">
        <f t="shared" si="8"/>
        <v/>
      </c>
      <c r="AO21" s="194"/>
      <c r="AP21" s="195"/>
      <c r="AQ21" s="685"/>
    </row>
    <row r="22" spans="1:43" x14ac:dyDescent="0.2">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9"/>
        <v/>
      </c>
      <c r="R22" s="193" t="str">
        <f t="shared" si="10"/>
        <v/>
      </c>
      <c r="S22" s="306" t="str">
        <f>IFERROR(INDEX('G-1 All Habitats'!$B$3:$B$134,MATCH(R22,'G-1 All Habitats'!$A$3:$A$134,0)),"")</f>
        <v/>
      </c>
      <c r="T22" s="362" t="str">
        <f t="shared" si="1"/>
        <v/>
      </c>
      <c r="U22" s="363" t="str">
        <f t="shared" si="2"/>
        <v/>
      </c>
      <c r="V22" s="398" t="str">
        <f t="shared" si="3"/>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0"/>
        <v/>
      </c>
      <c r="AE22" s="63"/>
      <c r="AF22" s="63"/>
      <c r="AG22" s="370" t="str">
        <f t="shared" si="4"/>
        <v/>
      </c>
      <c r="AH22" s="383" t="str">
        <f t="shared" si="5"/>
        <v/>
      </c>
      <c r="AI22" s="384" t="str">
        <f>IF(AH22="Check Data","Check Data",IFERROR(VLOOKUP(AH22,'G-4 Temporal multipliers'!$A$4:$C$36,3,FALSE),""))</f>
        <v/>
      </c>
      <c r="AJ22" s="362" t="str">
        <f>IF(S22="","",VLOOKUP(S22,'G-3 Multipliers'!$A$2:$E$134,4,FALSE))</f>
        <v/>
      </c>
      <c r="AK22" s="370" t="str">
        <f t="shared" si="6"/>
        <v/>
      </c>
      <c r="AL22" s="370" t="str">
        <f t="shared" si="7"/>
        <v/>
      </c>
      <c r="AM22" s="401" t="str">
        <f>IFERROR(IF(F22="","",IF(AH22="Check Data ⚠","Check Data ⚠",VLOOKUP(AL22, 'G-3 Multipliers'!$P$2:$Q$6,2,FALSE))),"")</f>
        <v/>
      </c>
      <c r="AN22" s="376" t="str">
        <f t="shared" si="8"/>
        <v/>
      </c>
      <c r="AO22" s="194"/>
      <c r="AP22" s="195"/>
      <c r="AQ22" s="685"/>
    </row>
    <row r="23" spans="1:43" x14ac:dyDescent="0.2">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9"/>
        <v/>
      </c>
      <c r="R23" s="193" t="str">
        <f t="shared" si="10"/>
        <v/>
      </c>
      <c r="S23" s="306" t="str">
        <f>IFERROR(INDEX('G-1 All Habitats'!$B$3:$B$134,MATCH(R23,'G-1 All Habitats'!$A$3:$A$134,0)),"")</f>
        <v/>
      </c>
      <c r="T23" s="362" t="str">
        <f t="shared" si="1"/>
        <v/>
      </c>
      <c r="U23" s="363" t="str">
        <f t="shared" si="2"/>
        <v/>
      </c>
      <c r="V23" s="398" t="str">
        <f t="shared" si="3"/>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0"/>
        <v/>
      </c>
      <c r="AE23" s="63"/>
      <c r="AF23" s="63"/>
      <c r="AG23" s="370" t="str">
        <f t="shared" si="4"/>
        <v/>
      </c>
      <c r="AH23" s="383" t="str">
        <f t="shared" si="5"/>
        <v/>
      </c>
      <c r="AI23" s="384" t="str">
        <f>IF(AH23="Check Data","Check Data",IFERROR(VLOOKUP(AH23,'G-4 Temporal multipliers'!$A$4:$C$36,3,FALSE),""))</f>
        <v/>
      </c>
      <c r="AJ23" s="362" t="str">
        <f>IF(S23="","",VLOOKUP(S23,'G-3 Multipliers'!$A$2:$E$134,4,FALSE))</f>
        <v/>
      </c>
      <c r="AK23" s="370" t="str">
        <f t="shared" si="6"/>
        <v/>
      </c>
      <c r="AL23" s="370" t="str">
        <f t="shared" si="7"/>
        <v/>
      </c>
      <c r="AM23" s="401" t="str">
        <f>IFERROR(IF(F23="","",IF(AH23="Check Data ⚠","Check Data ⚠",VLOOKUP(AL23, 'G-3 Multipliers'!$P$2:$Q$6,2,FALSE))),"")</f>
        <v/>
      </c>
      <c r="AN23" s="376" t="str">
        <f t="shared" si="8"/>
        <v/>
      </c>
      <c r="AO23" s="194"/>
      <c r="AP23" s="195"/>
      <c r="AQ23" s="685"/>
    </row>
    <row r="24" spans="1:43" x14ac:dyDescent="0.2">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9"/>
        <v/>
      </c>
      <c r="R24" s="193" t="str">
        <f t="shared" si="10"/>
        <v/>
      </c>
      <c r="S24" s="306" t="str">
        <f>IFERROR(INDEX('G-1 All Habitats'!$B$3:$B$134,MATCH(R24,'G-1 All Habitats'!$A$3:$A$134,0)),"")</f>
        <v/>
      </c>
      <c r="T24" s="362" t="str">
        <f t="shared" si="1"/>
        <v/>
      </c>
      <c r="U24" s="363" t="str">
        <f t="shared" si="2"/>
        <v/>
      </c>
      <c r="V24" s="398" t="str">
        <f t="shared" si="3"/>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0"/>
        <v/>
      </c>
      <c r="AE24" s="63"/>
      <c r="AF24" s="63"/>
      <c r="AG24" s="370" t="str">
        <f t="shared" si="4"/>
        <v/>
      </c>
      <c r="AH24" s="383" t="str">
        <f t="shared" si="5"/>
        <v/>
      </c>
      <c r="AI24" s="384" t="str">
        <f>IF(AH24="Check Data","Check Data",IFERROR(VLOOKUP(AH24,'G-4 Temporal multipliers'!$A$4:$C$36,3,FALSE),""))</f>
        <v/>
      </c>
      <c r="AJ24" s="362" t="str">
        <f>IF(S24="","",VLOOKUP(S24,'G-3 Multipliers'!$A$2:$E$134,4,FALSE))</f>
        <v/>
      </c>
      <c r="AK24" s="370" t="str">
        <f t="shared" si="6"/>
        <v/>
      </c>
      <c r="AL24" s="370" t="str">
        <f t="shared" si="7"/>
        <v/>
      </c>
      <c r="AM24" s="401" t="str">
        <f>IFERROR(IF(F24="","",IF(AH24="Check Data ⚠","Check Data ⚠",VLOOKUP(AL24, 'G-3 Multipliers'!$P$2:$Q$6,2,FALSE))),"")</f>
        <v/>
      </c>
      <c r="AN24" s="376" t="str">
        <f t="shared" si="8"/>
        <v/>
      </c>
      <c r="AO24" s="194"/>
      <c r="AP24" s="195"/>
      <c r="AQ24" s="685"/>
    </row>
    <row r="25" spans="1:43" x14ac:dyDescent="0.2">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9"/>
        <v/>
      </c>
      <c r="R25" s="193" t="str">
        <f t="shared" si="10"/>
        <v/>
      </c>
      <c r="S25" s="306" t="str">
        <f>IFERROR(INDEX('G-1 All Habitats'!$B$3:$B$134,MATCH(R25,'G-1 All Habitats'!$A$3:$A$134,0)),"")</f>
        <v/>
      </c>
      <c r="T25" s="362" t="str">
        <f t="shared" si="1"/>
        <v/>
      </c>
      <c r="U25" s="363" t="str">
        <f t="shared" si="2"/>
        <v/>
      </c>
      <c r="V25" s="398" t="str">
        <f t="shared" si="3"/>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0"/>
        <v/>
      </c>
      <c r="AE25" s="63"/>
      <c r="AF25" s="63"/>
      <c r="AG25" s="370" t="str">
        <f t="shared" si="4"/>
        <v/>
      </c>
      <c r="AH25" s="383" t="str">
        <f t="shared" si="5"/>
        <v/>
      </c>
      <c r="AI25" s="384" t="str">
        <f>IF(AH25="Check Data","Check Data",IFERROR(VLOOKUP(AH25,'G-4 Temporal multipliers'!$A$4:$C$36,3,FALSE),""))</f>
        <v/>
      </c>
      <c r="AJ25" s="362" t="str">
        <f>IF(S25="","",VLOOKUP(S25,'G-3 Multipliers'!$A$2:$E$134,4,FALSE))</f>
        <v/>
      </c>
      <c r="AK25" s="370" t="str">
        <f t="shared" si="6"/>
        <v/>
      </c>
      <c r="AL25" s="370" t="str">
        <f t="shared" si="7"/>
        <v/>
      </c>
      <c r="AM25" s="401" t="str">
        <f>IFERROR(IF(F25="","",IF(AH25="Check Data ⚠","Check Data ⚠",VLOOKUP(AL25, 'G-3 Multipliers'!$P$2:$Q$6,2,FALSE))),"")</f>
        <v/>
      </c>
      <c r="AN25" s="376" t="str">
        <f t="shared" si="8"/>
        <v/>
      </c>
      <c r="AO25" s="194"/>
      <c r="AP25" s="195"/>
      <c r="AQ25" s="685"/>
    </row>
    <row r="26" spans="1:43" x14ac:dyDescent="0.2">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9"/>
        <v/>
      </c>
      <c r="R26" s="193" t="str">
        <f t="shared" si="10"/>
        <v/>
      </c>
      <c r="S26" s="306" t="str">
        <f>IFERROR(INDEX('G-1 All Habitats'!$B$3:$B$134,MATCH(R26,'G-1 All Habitats'!$A$3:$A$134,0)),"")</f>
        <v/>
      </c>
      <c r="T26" s="362" t="str">
        <f t="shared" si="1"/>
        <v/>
      </c>
      <c r="U26" s="363" t="str">
        <f t="shared" si="2"/>
        <v/>
      </c>
      <c r="V26" s="398" t="str">
        <f t="shared" si="3"/>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0"/>
        <v/>
      </c>
      <c r="AE26" s="63"/>
      <c r="AF26" s="63"/>
      <c r="AG26" s="370" t="str">
        <f t="shared" si="4"/>
        <v/>
      </c>
      <c r="AH26" s="383" t="str">
        <f t="shared" si="5"/>
        <v/>
      </c>
      <c r="AI26" s="384" t="str">
        <f>IF(AH26="Check Data","Check Data",IFERROR(VLOOKUP(AH26,'G-4 Temporal multipliers'!$A$4:$C$36,3,FALSE),""))</f>
        <v/>
      </c>
      <c r="AJ26" s="362" t="str">
        <f>IF(S26="","",VLOOKUP(S26,'G-3 Multipliers'!$A$2:$E$134,4,FALSE))</f>
        <v/>
      </c>
      <c r="AK26" s="370" t="str">
        <f t="shared" si="6"/>
        <v/>
      </c>
      <c r="AL26" s="370" t="str">
        <f t="shared" si="7"/>
        <v/>
      </c>
      <c r="AM26" s="401" t="str">
        <f>IFERROR(IF(F26="","",IF(AH26="Check Data ⚠","Check Data ⚠",VLOOKUP(AL26, 'G-3 Multipliers'!$P$2:$Q$6,2,FALSE))),"")</f>
        <v/>
      </c>
      <c r="AN26" s="376" t="str">
        <f t="shared" si="8"/>
        <v/>
      </c>
      <c r="AO26" s="194"/>
      <c r="AP26" s="195"/>
      <c r="AQ26" s="685"/>
    </row>
    <row r="27" spans="1:43" x14ac:dyDescent="0.2">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9"/>
        <v/>
      </c>
      <c r="R27" s="193" t="str">
        <f t="shared" si="10"/>
        <v/>
      </c>
      <c r="S27" s="306" t="str">
        <f>IFERROR(INDEX('G-1 All Habitats'!$B$3:$B$134,MATCH(R27,'G-1 All Habitats'!$A$3:$A$134,0)),"")</f>
        <v/>
      </c>
      <c r="T27" s="362" t="str">
        <f t="shared" si="1"/>
        <v/>
      </c>
      <c r="U27" s="363" t="str">
        <f t="shared" si="2"/>
        <v/>
      </c>
      <c r="V27" s="398" t="str">
        <f t="shared" si="3"/>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0"/>
        <v/>
      </c>
      <c r="AE27" s="63"/>
      <c r="AF27" s="63"/>
      <c r="AG27" s="370" t="str">
        <f t="shared" si="4"/>
        <v/>
      </c>
      <c r="AH27" s="383" t="str">
        <f t="shared" si="5"/>
        <v/>
      </c>
      <c r="AI27" s="384" t="str">
        <f>IF(AH27="Check Data","Check Data",IFERROR(VLOOKUP(AH27,'G-4 Temporal multipliers'!$A$4:$C$36,3,FALSE),""))</f>
        <v/>
      </c>
      <c r="AJ27" s="362" t="str">
        <f>IF(S27="","",VLOOKUP(S27,'G-3 Multipliers'!$A$2:$E$134,4,FALSE))</f>
        <v/>
      </c>
      <c r="AK27" s="370" t="str">
        <f t="shared" si="6"/>
        <v/>
      </c>
      <c r="AL27" s="370" t="str">
        <f t="shared" si="7"/>
        <v/>
      </c>
      <c r="AM27" s="401" t="str">
        <f>IFERROR(IF(F27="","",IF(AH27="Check Data ⚠","Check Data ⚠",VLOOKUP(AL27, 'G-3 Multipliers'!$P$2:$Q$6,2,FALSE))),"")</f>
        <v/>
      </c>
      <c r="AN27" s="376" t="str">
        <f t="shared" si="8"/>
        <v/>
      </c>
      <c r="AO27" s="194"/>
      <c r="AP27" s="195"/>
      <c r="AQ27" s="685"/>
    </row>
    <row r="28" spans="1:43" x14ac:dyDescent="0.2">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9"/>
        <v/>
      </c>
      <c r="R28" s="193" t="str">
        <f t="shared" si="10"/>
        <v/>
      </c>
      <c r="S28" s="306" t="str">
        <f>IFERROR(INDEX('G-1 All Habitats'!$B$3:$B$134,MATCH(R28,'G-1 All Habitats'!$A$3:$A$134,0)),"")</f>
        <v/>
      </c>
      <c r="T28" s="362" t="str">
        <f t="shared" si="1"/>
        <v/>
      </c>
      <c r="U28" s="363" t="str">
        <f t="shared" si="2"/>
        <v/>
      </c>
      <c r="V28" s="398" t="str">
        <f t="shared" si="3"/>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0"/>
        <v/>
      </c>
      <c r="AE28" s="63"/>
      <c r="AF28" s="63"/>
      <c r="AG28" s="370" t="str">
        <f t="shared" si="4"/>
        <v/>
      </c>
      <c r="AH28" s="383" t="str">
        <f t="shared" si="5"/>
        <v/>
      </c>
      <c r="AI28" s="384" t="str">
        <f>IF(AH28="Check Data","Check Data",IFERROR(VLOOKUP(AH28,'G-4 Temporal multipliers'!$A$4:$C$36,3,FALSE),""))</f>
        <v/>
      </c>
      <c r="AJ28" s="362" t="str">
        <f>IF(S28="","",VLOOKUP(S28,'G-3 Multipliers'!$A$2:$E$134,4,FALSE))</f>
        <v/>
      </c>
      <c r="AK28" s="370" t="str">
        <f t="shared" si="6"/>
        <v/>
      </c>
      <c r="AL28" s="370" t="str">
        <f t="shared" si="7"/>
        <v/>
      </c>
      <c r="AM28" s="401" t="str">
        <f>IFERROR(IF(F28="","",IF(AH28="Check Data ⚠","Check Data ⚠",VLOOKUP(AL28, 'G-3 Multipliers'!$P$2:$Q$6,2,FALSE))),"")</f>
        <v/>
      </c>
      <c r="AN28" s="376" t="str">
        <f t="shared" si="8"/>
        <v/>
      </c>
      <c r="AO28" s="194"/>
      <c r="AP28" s="195"/>
      <c r="AQ28" s="685"/>
    </row>
    <row r="29" spans="1:43" x14ac:dyDescent="0.2">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9"/>
        <v/>
      </c>
      <c r="R29" s="193" t="str">
        <f t="shared" si="10"/>
        <v/>
      </c>
      <c r="S29" s="306" t="str">
        <f>IFERROR(INDEX('G-1 All Habitats'!$B$3:$B$134,MATCH(R29,'G-1 All Habitats'!$A$3:$A$134,0)),"")</f>
        <v/>
      </c>
      <c r="T29" s="362" t="str">
        <f t="shared" si="1"/>
        <v/>
      </c>
      <c r="U29" s="363" t="str">
        <f t="shared" si="2"/>
        <v/>
      </c>
      <c r="V29" s="398" t="str">
        <f t="shared" si="3"/>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0"/>
        <v/>
      </c>
      <c r="AE29" s="63"/>
      <c r="AF29" s="63"/>
      <c r="AG29" s="370" t="str">
        <f t="shared" si="4"/>
        <v/>
      </c>
      <c r="AH29" s="383" t="str">
        <f t="shared" si="5"/>
        <v/>
      </c>
      <c r="AI29" s="384" t="str">
        <f>IF(AH29="Check Data","Check Data",IFERROR(VLOOKUP(AH29,'G-4 Temporal multipliers'!$A$4:$C$36,3,FALSE),""))</f>
        <v/>
      </c>
      <c r="AJ29" s="362" t="str">
        <f>IF(S29="","",VLOOKUP(S29,'G-3 Multipliers'!$A$2:$E$134,4,FALSE))</f>
        <v/>
      </c>
      <c r="AK29" s="370" t="str">
        <f t="shared" si="6"/>
        <v/>
      </c>
      <c r="AL29" s="370" t="str">
        <f t="shared" si="7"/>
        <v/>
      </c>
      <c r="AM29" s="401" t="str">
        <f>IFERROR(IF(F29="","",IF(AH29="Check Data ⚠","Check Data ⚠",VLOOKUP(AL29, 'G-3 Multipliers'!$P$2:$Q$6,2,FALSE))),"")</f>
        <v/>
      </c>
      <c r="AN29" s="376" t="str">
        <f t="shared" si="8"/>
        <v/>
      </c>
      <c r="AO29" s="194"/>
      <c r="AP29" s="195"/>
      <c r="AQ29" s="685"/>
    </row>
    <row r="30" spans="1:43" x14ac:dyDescent="0.2">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9"/>
        <v/>
      </c>
      <c r="R30" s="193" t="str">
        <f t="shared" si="10"/>
        <v/>
      </c>
      <c r="S30" s="306" t="str">
        <f>IFERROR(INDEX('G-1 All Habitats'!$B$3:$B$134,MATCH(R30,'G-1 All Habitats'!$A$3:$A$134,0)),"")</f>
        <v/>
      </c>
      <c r="T30" s="362" t="str">
        <f t="shared" si="1"/>
        <v/>
      </c>
      <c r="U30" s="363" t="str">
        <f t="shared" si="2"/>
        <v/>
      </c>
      <c r="V30" s="398" t="str">
        <f t="shared" si="3"/>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0"/>
        <v/>
      </c>
      <c r="AE30" s="63"/>
      <c r="AF30" s="63"/>
      <c r="AG30" s="370" t="str">
        <f t="shared" si="4"/>
        <v/>
      </c>
      <c r="AH30" s="383" t="str">
        <f t="shared" si="5"/>
        <v/>
      </c>
      <c r="AI30" s="384" t="str">
        <f>IF(AH30="Check Data","Check Data",IFERROR(VLOOKUP(AH30,'G-4 Temporal multipliers'!$A$4:$C$36,3,FALSE),""))</f>
        <v/>
      </c>
      <c r="AJ30" s="362" t="str">
        <f>IF(S30="","",VLOOKUP(S30,'G-3 Multipliers'!$A$2:$E$134,4,FALSE))</f>
        <v/>
      </c>
      <c r="AK30" s="370" t="str">
        <f t="shared" si="6"/>
        <v/>
      </c>
      <c r="AL30" s="370" t="str">
        <f t="shared" si="7"/>
        <v/>
      </c>
      <c r="AM30" s="401" t="str">
        <f>IFERROR(IF(F30="","",IF(AH30="Check Data ⚠","Check Data ⚠",VLOOKUP(AL30, 'G-3 Multipliers'!$P$2:$Q$6,2,FALSE))),"")</f>
        <v/>
      </c>
      <c r="AN30" s="376" t="str">
        <f t="shared" si="8"/>
        <v/>
      </c>
      <c r="AO30" s="194"/>
      <c r="AP30" s="195"/>
      <c r="AQ30" s="685"/>
    </row>
    <row r="31" spans="1:43" x14ac:dyDescent="0.2">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9"/>
        <v/>
      </c>
      <c r="R31" s="193" t="str">
        <f t="shared" si="10"/>
        <v/>
      </c>
      <c r="S31" s="306" t="str">
        <f>IFERROR(INDEX('G-1 All Habitats'!$B$3:$B$134,MATCH(R31,'G-1 All Habitats'!$A$3:$A$134,0)),"")</f>
        <v/>
      </c>
      <c r="T31" s="362" t="str">
        <f t="shared" si="1"/>
        <v/>
      </c>
      <c r="U31" s="363" t="str">
        <f t="shared" si="2"/>
        <v/>
      </c>
      <c r="V31" s="398" t="str">
        <f t="shared" si="3"/>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0"/>
        <v/>
      </c>
      <c r="AE31" s="63"/>
      <c r="AF31" s="63"/>
      <c r="AG31" s="370" t="str">
        <f t="shared" si="4"/>
        <v/>
      </c>
      <c r="AH31" s="383" t="str">
        <f t="shared" si="5"/>
        <v/>
      </c>
      <c r="AI31" s="384" t="str">
        <f>IF(AH31="Check Data","Check Data",IFERROR(VLOOKUP(AH31,'G-4 Temporal multipliers'!$A$4:$C$36,3,FALSE),""))</f>
        <v/>
      </c>
      <c r="AJ31" s="362" t="str">
        <f>IF(S31="","",VLOOKUP(S31,'G-3 Multipliers'!$A$2:$E$134,4,FALSE))</f>
        <v/>
      </c>
      <c r="AK31" s="370" t="str">
        <f t="shared" si="6"/>
        <v/>
      </c>
      <c r="AL31" s="370" t="str">
        <f t="shared" si="7"/>
        <v/>
      </c>
      <c r="AM31" s="401" t="str">
        <f>IFERROR(IF(F31="","",IF(AH31="Check Data ⚠","Check Data ⚠",VLOOKUP(AL31, 'G-3 Multipliers'!$P$2:$Q$6,2,FALSE))),"")</f>
        <v/>
      </c>
      <c r="AN31" s="376" t="str">
        <f t="shared" si="8"/>
        <v/>
      </c>
      <c r="AO31" s="194"/>
      <c r="AP31" s="195"/>
      <c r="AQ31" s="685"/>
    </row>
    <row r="32" spans="1:43" x14ac:dyDescent="0.2">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9"/>
        <v/>
      </c>
      <c r="R32" s="193" t="str">
        <f t="shared" si="10"/>
        <v/>
      </c>
      <c r="S32" s="306" t="str">
        <f>IFERROR(INDEX('G-1 All Habitats'!$B$3:$B$134,MATCH(R32,'G-1 All Habitats'!$A$3:$A$134,0)),"")</f>
        <v/>
      </c>
      <c r="T32" s="362" t="str">
        <f t="shared" si="1"/>
        <v/>
      </c>
      <c r="U32" s="363" t="str">
        <f t="shared" si="2"/>
        <v/>
      </c>
      <c r="V32" s="398" t="str">
        <f t="shared" si="3"/>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0"/>
        <v/>
      </c>
      <c r="AE32" s="63"/>
      <c r="AF32" s="63"/>
      <c r="AG32" s="370" t="str">
        <f t="shared" si="4"/>
        <v/>
      </c>
      <c r="AH32" s="383" t="str">
        <f t="shared" si="5"/>
        <v/>
      </c>
      <c r="AI32" s="384" t="str">
        <f>IF(AH32="Check Data","Check Data",IFERROR(VLOOKUP(AH32,'G-4 Temporal multipliers'!$A$4:$C$36,3,FALSE),""))</f>
        <v/>
      </c>
      <c r="AJ32" s="362" t="str">
        <f>IF(S32="","",VLOOKUP(S32,'G-3 Multipliers'!$A$2:$E$134,4,FALSE))</f>
        <v/>
      </c>
      <c r="AK32" s="370" t="str">
        <f t="shared" si="6"/>
        <v/>
      </c>
      <c r="AL32" s="370" t="str">
        <f t="shared" si="7"/>
        <v/>
      </c>
      <c r="AM32" s="401" t="str">
        <f>IFERROR(IF(F32="","",IF(AH32="Check Data ⚠","Check Data ⚠",VLOOKUP(AL32, 'G-3 Multipliers'!$P$2:$Q$6,2,FALSE))),"")</f>
        <v/>
      </c>
      <c r="AN32" s="376" t="str">
        <f t="shared" si="8"/>
        <v/>
      </c>
      <c r="AO32" s="194"/>
      <c r="AP32" s="195"/>
      <c r="AQ32" s="685"/>
    </row>
    <row r="33" spans="1:43" x14ac:dyDescent="0.2">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9"/>
        <v/>
      </c>
      <c r="R33" s="193" t="str">
        <f t="shared" si="10"/>
        <v/>
      </c>
      <c r="S33" s="306" t="str">
        <f>IFERROR(INDEX('G-1 All Habitats'!$B$3:$B$134,MATCH(R33,'G-1 All Habitats'!$A$3:$A$134,0)),"")</f>
        <v/>
      </c>
      <c r="T33" s="362" t="str">
        <f t="shared" si="1"/>
        <v/>
      </c>
      <c r="U33" s="363" t="str">
        <f t="shared" si="2"/>
        <v/>
      </c>
      <c r="V33" s="398" t="str">
        <f t="shared" si="3"/>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0"/>
        <v/>
      </c>
      <c r="AE33" s="63"/>
      <c r="AF33" s="63"/>
      <c r="AG33" s="370" t="str">
        <f t="shared" si="4"/>
        <v/>
      </c>
      <c r="AH33" s="383" t="str">
        <f t="shared" si="5"/>
        <v/>
      </c>
      <c r="AI33" s="384" t="str">
        <f>IF(AH33="Check Data","Check Data",IFERROR(VLOOKUP(AH33,'G-4 Temporal multipliers'!$A$4:$C$36,3,FALSE),""))</f>
        <v/>
      </c>
      <c r="AJ33" s="362" t="str">
        <f>IF(S33="","",VLOOKUP(S33,'G-3 Multipliers'!$A$2:$E$134,4,FALSE))</f>
        <v/>
      </c>
      <c r="AK33" s="370" t="str">
        <f t="shared" si="6"/>
        <v/>
      </c>
      <c r="AL33" s="370" t="str">
        <f t="shared" si="7"/>
        <v/>
      </c>
      <c r="AM33" s="401" t="str">
        <f>IFERROR(IF(F33="","",IF(AH33="Check Data ⚠","Check Data ⚠",VLOOKUP(AL33, 'G-3 Multipliers'!$P$2:$Q$6,2,FALSE))),"")</f>
        <v/>
      </c>
      <c r="AN33" s="376" t="str">
        <f t="shared" si="8"/>
        <v/>
      </c>
      <c r="AO33" s="194"/>
      <c r="AP33" s="195"/>
      <c r="AQ33" s="685"/>
    </row>
    <row r="34" spans="1:43" x14ac:dyDescent="0.2">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9"/>
        <v/>
      </c>
      <c r="R34" s="193" t="str">
        <f t="shared" si="10"/>
        <v/>
      </c>
      <c r="S34" s="306" t="str">
        <f>IFERROR(INDEX('G-1 All Habitats'!$B$3:$B$134,MATCH(R34,'G-1 All Habitats'!$A$3:$A$134,0)),"")</f>
        <v/>
      </c>
      <c r="T34" s="362" t="str">
        <f t="shared" si="1"/>
        <v/>
      </c>
      <c r="U34" s="363" t="str">
        <f t="shared" si="2"/>
        <v/>
      </c>
      <c r="V34" s="398" t="str">
        <f t="shared" si="3"/>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0"/>
        <v/>
      </c>
      <c r="AE34" s="63"/>
      <c r="AF34" s="63"/>
      <c r="AG34" s="370" t="str">
        <f t="shared" si="4"/>
        <v/>
      </c>
      <c r="AH34" s="383" t="str">
        <f t="shared" si="5"/>
        <v/>
      </c>
      <c r="AI34" s="384" t="str">
        <f>IF(AH34="Check Data","Check Data",IFERROR(VLOOKUP(AH34,'G-4 Temporal multipliers'!$A$4:$C$36,3,FALSE),""))</f>
        <v/>
      </c>
      <c r="AJ34" s="362" t="str">
        <f>IF(S34="","",VLOOKUP(S34,'G-3 Multipliers'!$A$2:$E$134,4,FALSE))</f>
        <v/>
      </c>
      <c r="AK34" s="370" t="str">
        <f t="shared" si="6"/>
        <v/>
      </c>
      <c r="AL34" s="370" t="str">
        <f t="shared" si="7"/>
        <v/>
      </c>
      <c r="AM34" s="401" t="str">
        <f>IFERROR(IF(F34="","",IF(AH34="Check Data ⚠","Check Data ⚠",VLOOKUP(AL34, 'G-3 Multipliers'!$P$2:$Q$6,2,FALSE))),"")</f>
        <v/>
      </c>
      <c r="AN34" s="376" t="str">
        <f t="shared" si="8"/>
        <v/>
      </c>
      <c r="AO34" s="194"/>
      <c r="AP34" s="195"/>
      <c r="AQ34" s="685"/>
    </row>
    <row r="35" spans="1:43" x14ac:dyDescent="0.2">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9"/>
        <v/>
      </c>
      <c r="R35" s="193" t="str">
        <f t="shared" si="10"/>
        <v/>
      </c>
      <c r="S35" s="306" t="str">
        <f>IFERROR(INDEX('G-1 All Habitats'!$B$3:$B$134,MATCH(R35,'G-1 All Habitats'!$A$3:$A$134,0)),"")</f>
        <v/>
      </c>
      <c r="T35" s="362" t="str">
        <f t="shared" si="1"/>
        <v/>
      </c>
      <c r="U35" s="363" t="str">
        <f t="shared" si="2"/>
        <v/>
      </c>
      <c r="V35" s="398" t="str">
        <f t="shared" si="3"/>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0"/>
        <v/>
      </c>
      <c r="AE35" s="63"/>
      <c r="AF35" s="63"/>
      <c r="AG35" s="370" t="str">
        <f t="shared" si="4"/>
        <v/>
      </c>
      <c r="AH35" s="383" t="str">
        <f t="shared" si="5"/>
        <v/>
      </c>
      <c r="AI35" s="384" t="str">
        <f>IF(AH35="Check Data","Check Data",IFERROR(VLOOKUP(AH35,'G-4 Temporal multipliers'!$A$4:$C$36,3,FALSE),""))</f>
        <v/>
      </c>
      <c r="AJ35" s="362" t="str">
        <f>IF(S35="","",VLOOKUP(S35,'G-3 Multipliers'!$A$2:$E$134,4,FALSE))</f>
        <v/>
      </c>
      <c r="AK35" s="370" t="str">
        <f t="shared" si="6"/>
        <v/>
      </c>
      <c r="AL35" s="370" t="str">
        <f t="shared" si="7"/>
        <v/>
      </c>
      <c r="AM35" s="401" t="str">
        <f>IFERROR(IF(F35="","",IF(AH35="Check Data ⚠","Check Data ⚠",VLOOKUP(AL35, 'G-3 Multipliers'!$P$2:$Q$6,2,FALSE))),"")</f>
        <v/>
      </c>
      <c r="AN35" s="376" t="str">
        <f t="shared" si="8"/>
        <v/>
      </c>
      <c r="AO35" s="194"/>
      <c r="AP35" s="195"/>
      <c r="AQ35" s="685"/>
    </row>
    <row r="36" spans="1:43" x14ac:dyDescent="0.2">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9"/>
        <v/>
      </c>
      <c r="R36" s="193" t="str">
        <f t="shared" si="10"/>
        <v/>
      </c>
      <c r="S36" s="306" t="str">
        <f>IFERROR(INDEX('G-1 All Habitats'!$B$3:$B$134,MATCH(R36,'G-1 All Habitats'!$A$3:$A$134,0)),"")</f>
        <v/>
      </c>
      <c r="T36" s="362" t="str">
        <f t="shared" si="1"/>
        <v/>
      </c>
      <c r="U36" s="363" t="str">
        <f t="shared" si="2"/>
        <v/>
      </c>
      <c r="V36" s="398" t="str">
        <f t="shared" si="3"/>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0"/>
        <v/>
      </c>
      <c r="AE36" s="63"/>
      <c r="AF36" s="63"/>
      <c r="AG36" s="370" t="str">
        <f t="shared" si="4"/>
        <v/>
      </c>
      <c r="AH36" s="383" t="str">
        <f t="shared" si="5"/>
        <v/>
      </c>
      <c r="AI36" s="384" t="str">
        <f>IF(AH36="Check Data","Check Data",IFERROR(VLOOKUP(AH36,'G-4 Temporal multipliers'!$A$4:$C$36,3,FALSE),""))</f>
        <v/>
      </c>
      <c r="AJ36" s="362" t="str">
        <f>IF(S36="","",VLOOKUP(S36,'G-3 Multipliers'!$A$2:$E$134,4,FALSE))</f>
        <v/>
      </c>
      <c r="AK36" s="370" t="str">
        <f t="shared" si="6"/>
        <v/>
      </c>
      <c r="AL36" s="370" t="str">
        <f t="shared" si="7"/>
        <v/>
      </c>
      <c r="AM36" s="401" t="str">
        <f>IFERROR(IF(F36="","",IF(AH36="Check Data ⚠","Check Data ⚠",VLOOKUP(AL36, 'G-3 Multipliers'!$P$2:$Q$6,2,FALSE))),"")</f>
        <v/>
      </c>
      <c r="AN36" s="376" t="str">
        <f t="shared" si="8"/>
        <v/>
      </c>
      <c r="AO36" s="194"/>
      <c r="AP36" s="195"/>
      <c r="AQ36" s="685"/>
    </row>
    <row r="37" spans="1:43" x14ac:dyDescent="0.2">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9"/>
        <v/>
      </c>
      <c r="R37" s="193" t="str">
        <f t="shared" si="10"/>
        <v/>
      </c>
      <c r="S37" s="306" t="str">
        <f>IFERROR(INDEX('G-1 All Habitats'!$B$3:$B$134,MATCH(R37,'G-1 All Habitats'!$A$3:$A$134,0)),"")</f>
        <v/>
      </c>
      <c r="T37" s="362" t="str">
        <f t="shared" si="1"/>
        <v/>
      </c>
      <c r="U37" s="363" t="str">
        <f t="shared" si="2"/>
        <v/>
      </c>
      <c r="V37" s="398" t="str">
        <f t="shared" si="3"/>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0"/>
        <v/>
      </c>
      <c r="AE37" s="63"/>
      <c r="AF37" s="63"/>
      <c r="AG37" s="370" t="str">
        <f t="shared" si="4"/>
        <v/>
      </c>
      <c r="AH37" s="383" t="str">
        <f t="shared" si="5"/>
        <v/>
      </c>
      <c r="AI37" s="384" t="str">
        <f>IF(AH37="Check Data","Check Data",IFERROR(VLOOKUP(AH37,'G-4 Temporal multipliers'!$A$4:$C$36,3,FALSE),""))</f>
        <v/>
      </c>
      <c r="AJ37" s="362" t="str">
        <f>IF(S37="","",VLOOKUP(S37,'G-3 Multipliers'!$A$2:$E$134,4,FALSE))</f>
        <v/>
      </c>
      <c r="AK37" s="370" t="str">
        <f t="shared" si="6"/>
        <v/>
      </c>
      <c r="AL37" s="370" t="str">
        <f t="shared" si="7"/>
        <v/>
      </c>
      <c r="AM37" s="401" t="str">
        <f>IFERROR(IF(F37="","",IF(AH37="Check Data ⚠","Check Data ⚠",VLOOKUP(AL37, 'G-3 Multipliers'!$P$2:$Q$6,2,FALSE))),"")</f>
        <v/>
      </c>
      <c r="AN37" s="376" t="str">
        <f t="shared" si="8"/>
        <v/>
      </c>
      <c r="AO37" s="194"/>
      <c r="AP37" s="195"/>
      <c r="AQ37" s="685"/>
    </row>
    <row r="38" spans="1:43" x14ac:dyDescent="0.2">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9"/>
        <v/>
      </c>
      <c r="R38" s="193" t="str">
        <f t="shared" si="10"/>
        <v/>
      </c>
      <c r="S38" s="306" t="str">
        <f>IFERROR(INDEX('G-1 All Habitats'!$B$3:$B$134,MATCH(R38,'G-1 All Habitats'!$A$3:$A$134,0)),"")</f>
        <v/>
      </c>
      <c r="T38" s="362" t="str">
        <f t="shared" si="1"/>
        <v/>
      </c>
      <c r="U38" s="363" t="str">
        <f t="shared" si="2"/>
        <v/>
      </c>
      <c r="V38" s="398" t="str">
        <f t="shared" si="3"/>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0"/>
        <v/>
      </c>
      <c r="AE38" s="63"/>
      <c r="AF38" s="63"/>
      <c r="AG38" s="370" t="str">
        <f t="shared" si="4"/>
        <v/>
      </c>
      <c r="AH38" s="383" t="str">
        <f t="shared" si="5"/>
        <v/>
      </c>
      <c r="AI38" s="384" t="str">
        <f>IF(AH38="Check Data","Check Data",IFERROR(VLOOKUP(AH38,'G-4 Temporal multipliers'!$A$4:$C$36,3,FALSE),""))</f>
        <v/>
      </c>
      <c r="AJ38" s="362" t="str">
        <f>IF(S38="","",VLOOKUP(S38,'G-3 Multipliers'!$A$2:$E$134,4,FALSE))</f>
        <v/>
      </c>
      <c r="AK38" s="370" t="str">
        <f t="shared" si="6"/>
        <v/>
      </c>
      <c r="AL38" s="370" t="str">
        <f t="shared" si="7"/>
        <v/>
      </c>
      <c r="AM38" s="401" t="str">
        <f>IFERROR(IF(F38="","",IF(AH38="Check Data ⚠","Check Data ⚠",VLOOKUP(AL38, 'G-3 Multipliers'!$P$2:$Q$6,2,FALSE))),"")</f>
        <v/>
      </c>
      <c r="AN38" s="376" t="str">
        <f t="shared" si="8"/>
        <v/>
      </c>
      <c r="AO38" s="194"/>
      <c r="AP38" s="195"/>
      <c r="AQ38" s="685"/>
    </row>
    <row r="39" spans="1:43" x14ac:dyDescent="0.2">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9"/>
        <v/>
      </c>
      <c r="R39" s="193" t="str">
        <f t="shared" si="10"/>
        <v/>
      </c>
      <c r="S39" s="306" t="str">
        <f>IFERROR(INDEX('G-1 All Habitats'!$B$3:$B$134,MATCH(R39,'G-1 All Habitats'!$A$3:$A$134,0)),"")</f>
        <v/>
      </c>
      <c r="T39" s="362" t="str">
        <f t="shared" si="1"/>
        <v/>
      </c>
      <c r="U39" s="363" t="str">
        <f t="shared" si="2"/>
        <v/>
      </c>
      <c r="V39" s="398" t="str">
        <f t="shared" si="3"/>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0"/>
        <v/>
      </c>
      <c r="AE39" s="63"/>
      <c r="AF39" s="63"/>
      <c r="AG39" s="370" t="str">
        <f t="shared" si="4"/>
        <v/>
      </c>
      <c r="AH39" s="383" t="str">
        <f t="shared" si="5"/>
        <v/>
      </c>
      <c r="AI39" s="384" t="str">
        <f>IF(AH39="Check Data","Check Data",IFERROR(VLOOKUP(AH39,'G-4 Temporal multipliers'!$A$4:$C$36,3,FALSE),""))</f>
        <v/>
      </c>
      <c r="AJ39" s="362" t="str">
        <f>IF(S39="","",VLOOKUP(S39,'G-3 Multipliers'!$A$2:$E$134,4,FALSE))</f>
        <v/>
      </c>
      <c r="AK39" s="370" t="str">
        <f t="shared" si="6"/>
        <v/>
      </c>
      <c r="AL39" s="370" t="str">
        <f t="shared" si="7"/>
        <v/>
      </c>
      <c r="AM39" s="401" t="str">
        <f>IFERROR(IF(F39="","",IF(AH39="Check Data ⚠","Check Data ⚠",VLOOKUP(AL39, 'G-3 Multipliers'!$P$2:$Q$6,2,FALSE))),"")</f>
        <v/>
      </c>
      <c r="AN39" s="376" t="str">
        <f t="shared" si="8"/>
        <v/>
      </c>
      <c r="AO39" s="194"/>
      <c r="AP39" s="195"/>
      <c r="AQ39" s="120"/>
    </row>
    <row r="40" spans="1:43" x14ac:dyDescent="0.2">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9"/>
        <v/>
      </c>
      <c r="R40" s="193" t="str">
        <f t="shared" si="10"/>
        <v/>
      </c>
      <c r="S40" s="306" t="str">
        <f>IFERROR(INDEX('G-1 All Habitats'!$B$3:$B$134,MATCH(R40,'G-1 All Habitats'!$A$3:$A$134,0)),"")</f>
        <v/>
      </c>
      <c r="T40" s="362" t="str">
        <f t="shared" si="1"/>
        <v/>
      </c>
      <c r="U40" s="363" t="str">
        <f t="shared" si="2"/>
        <v/>
      </c>
      <c r="V40" s="398" t="str">
        <f t="shared" si="3"/>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0"/>
        <v/>
      </c>
      <c r="AE40" s="63"/>
      <c r="AF40" s="63"/>
      <c r="AG40" s="370" t="str">
        <f t="shared" si="4"/>
        <v/>
      </c>
      <c r="AH40" s="383" t="str">
        <f t="shared" si="5"/>
        <v/>
      </c>
      <c r="AI40" s="384" t="str">
        <f>IF(AH40="Check Data","Check Data",IFERROR(VLOOKUP(AH40,'G-4 Temporal multipliers'!$A$4:$C$36,3,FALSE),""))</f>
        <v/>
      </c>
      <c r="AJ40" s="362" t="str">
        <f>IF(S40="","",VLOOKUP(S40,'G-3 Multipliers'!$A$2:$E$134,4,FALSE))</f>
        <v/>
      </c>
      <c r="AK40" s="370" t="str">
        <f t="shared" si="6"/>
        <v/>
      </c>
      <c r="AL40" s="370" t="str">
        <f t="shared" si="7"/>
        <v/>
      </c>
      <c r="AM40" s="401" t="str">
        <f>IFERROR(IF(F40="","",IF(AH40="Check Data ⚠","Check Data ⚠",VLOOKUP(AL40, 'G-3 Multipliers'!$P$2:$Q$6,2,FALSE))),"")</f>
        <v/>
      </c>
      <c r="AN40" s="376" t="str">
        <f t="shared" si="8"/>
        <v/>
      </c>
      <c r="AO40" s="194"/>
      <c r="AP40" s="195"/>
      <c r="AQ40" s="120"/>
    </row>
    <row r="41" spans="1:43" x14ac:dyDescent="0.2">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9"/>
        <v/>
      </c>
      <c r="R41" s="193" t="str">
        <f t="shared" si="10"/>
        <v/>
      </c>
      <c r="S41" s="306" t="str">
        <f>IFERROR(INDEX('G-1 All Habitats'!$B$3:$B$134,MATCH(R41,'G-1 All Habitats'!$A$3:$A$134,0)),"")</f>
        <v/>
      </c>
      <c r="T41" s="362" t="str">
        <f t="shared" si="1"/>
        <v/>
      </c>
      <c r="U41" s="363" t="str">
        <f t="shared" si="2"/>
        <v/>
      </c>
      <c r="V41" s="398" t="str">
        <f t="shared" si="3"/>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0"/>
        <v/>
      </c>
      <c r="AE41" s="63"/>
      <c r="AF41" s="63"/>
      <c r="AG41" s="370" t="str">
        <f t="shared" si="4"/>
        <v/>
      </c>
      <c r="AH41" s="383" t="str">
        <f t="shared" si="5"/>
        <v/>
      </c>
      <c r="AI41" s="384" t="str">
        <f>IF(AH41="Check Data","Check Data",IFERROR(VLOOKUP(AH41,'G-4 Temporal multipliers'!$A$4:$C$36,3,FALSE),""))</f>
        <v/>
      </c>
      <c r="AJ41" s="362" t="str">
        <f>IF(S41="","",VLOOKUP(S41,'G-3 Multipliers'!$A$2:$E$134,4,FALSE))</f>
        <v/>
      </c>
      <c r="AK41" s="370" t="str">
        <f t="shared" si="6"/>
        <v/>
      </c>
      <c r="AL41" s="370" t="str">
        <f t="shared" si="7"/>
        <v/>
      </c>
      <c r="AM41" s="401" t="str">
        <f>IFERROR(IF(F41="","",IF(AH41="Check Data ⚠","Check Data ⚠",VLOOKUP(AL41, 'G-3 Multipliers'!$P$2:$Q$6,2,FALSE))),"")</f>
        <v/>
      </c>
      <c r="AN41" s="376" t="str">
        <f t="shared" si="8"/>
        <v/>
      </c>
      <c r="AO41" s="194"/>
      <c r="AP41" s="195"/>
      <c r="AQ41" s="120"/>
    </row>
    <row r="42" spans="1:43" x14ac:dyDescent="0.2">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9"/>
        <v/>
      </c>
      <c r="R42" s="193" t="str">
        <f t="shared" si="10"/>
        <v/>
      </c>
      <c r="S42" s="306" t="str">
        <f>IFERROR(INDEX('G-1 All Habitats'!$B$3:$B$134,MATCH(R42,'G-1 All Habitats'!$A$3:$A$134,0)),"")</f>
        <v/>
      </c>
      <c r="T42" s="362" t="str">
        <f t="shared" si="1"/>
        <v/>
      </c>
      <c r="U42" s="363" t="str">
        <f t="shared" si="2"/>
        <v/>
      </c>
      <c r="V42" s="398" t="str">
        <f t="shared" si="3"/>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0"/>
        <v/>
      </c>
      <c r="AE42" s="63"/>
      <c r="AF42" s="63"/>
      <c r="AG42" s="370" t="str">
        <f t="shared" si="4"/>
        <v/>
      </c>
      <c r="AH42" s="383" t="str">
        <f t="shared" si="5"/>
        <v/>
      </c>
      <c r="AI42" s="384" t="str">
        <f>IF(AH42="Check Data","Check Data",IFERROR(VLOOKUP(AH42,'G-4 Temporal multipliers'!$A$4:$C$36,3,FALSE),""))</f>
        <v/>
      </c>
      <c r="AJ42" s="362" t="str">
        <f>IF(S42="","",VLOOKUP(S42,'G-3 Multipliers'!$A$2:$E$134,4,FALSE))</f>
        <v/>
      </c>
      <c r="AK42" s="370" t="str">
        <f t="shared" si="6"/>
        <v/>
      </c>
      <c r="AL42" s="370" t="str">
        <f t="shared" si="7"/>
        <v/>
      </c>
      <c r="AM42" s="401" t="str">
        <f>IFERROR(IF(F42="","",IF(AH42="Check Data ⚠","Check Data ⚠",VLOOKUP(AL42, 'G-3 Multipliers'!$P$2:$Q$6,2,FALSE))),"")</f>
        <v/>
      </c>
      <c r="AN42" s="376" t="str">
        <f t="shared" si="8"/>
        <v/>
      </c>
      <c r="AO42" s="194"/>
      <c r="AP42" s="195"/>
      <c r="AQ42" s="120"/>
    </row>
    <row r="43" spans="1:43" x14ac:dyDescent="0.2">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9"/>
        <v/>
      </c>
      <c r="R43" s="193" t="str">
        <f t="shared" si="10"/>
        <v/>
      </c>
      <c r="S43" s="306" t="str">
        <f>IFERROR(INDEX('G-1 All Habitats'!$B$3:$B$134,MATCH(R43,'G-1 All Habitats'!$A$3:$A$134,0)),"")</f>
        <v/>
      </c>
      <c r="T43" s="362" t="str">
        <f t="shared" si="1"/>
        <v/>
      </c>
      <c r="U43" s="363" t="str">
        <f t="shared" si="2"/>
        <v/>
      </c>
      <c r="V43" s="398" t="str">
        <f t="shared" si="3"/>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0"/>
        <v/>
      </c>
      <c r="AE43" s="63"/>
      <c r="AF43" s="63"/>
      <c r="AG43" s="370" t="str">
        <f t="shared" si="4"/>
        <v/>
      </c>
      <c r="AH43" s="383" t="str">
        <f t="shared" si="5"/>
        <v/>
      </c>
      <c r="AI43" s="384" t="str">
        <f>IF(AH43="Check Data","Check Data",IFERROR(VLOOKUP(AH43,'G-4 Temporal multipliers'!$A$4:$C$36,3,FALSE),""))</f>
        <v/>
      </c>
      <c r="AJ43" s="362" t="str">
        <f>IF(S43="","",VLOOKUP(S43,'G-3 Multipliers'!$A$2:$E$134,4,FALSE))</f>
        <v/>
      </c>
      <c r="AK43" s="370" t="str">
        <f t="shared" si="6"/>
        <v/>
      </c>
      <c r="AL43" s="370" t="str">
        <f t="shared" si="7"/>
        <v/>
      </c>
      <c r="AM43" s="401" t="str">
        <f>IFERROR(IF(F43="","",IF(AH43="Check Data ⚠","Check Data ⚠",VLOOKUP(AL43, 'G-3 Multipliers'!$P$2:$Q$6,2,FALSE))),"")</f>
        <v/>
      </c>
      <c r="AN43" s="376" t="str">
        <f t="shared" si="8"/>
        <v/>
      </c>
      <c r="AO43" s="194"/>
      <c r="AP43" s="195"/>
      <c r="AQ43" s="120"/>
    </row>
    <row r="44" spans="1:43" x14ac:dyDescent="0.2">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9"/>
        <v/>
      </c>
      <c r="R44" s="193" t="str">
        <f t="shared" si="10"/>
        <v/>
      </c>
      <c r="S44" s="306" t="str">
        <f>IFERROR(INDEX('G-1 All Habitats'!$B$3:$B$134,MATCH(R44,'G-1 All Habitats'!$A$3:$A$134,0)),"")</f>
        <v/>
      </c>
      <c r="T44" s="362" t="str">
        <f t="shared" si="1"/>
        <v/>
      </c>
      <c r="U44" s="363" t="str">
        <f t="shared" si="2"/>
        <v/>
      </c>
      <c r="V44" s="398" t="str">
        <f t="shared" si="3"/>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0"/>
        <v/>
      </c>
      <c r="AE44" s="63"/>
      <c r="AF44" s="63"/>
      <c r="AG44" s="370" t="str">
        <f t="shared" si="4"/>
        <v/>
      </c>
      <c r="AH44" s="383" t="str">
        <f t="shared" si="5"/>
        <v/>
      </c>
      <c r="AI44" s="384" t="str">
        <f>IF(AH44="Check Data","Check Data",IFERROR(VLOOKUP(AH44,'G-4 Temporal multipliers'!$A$4:$C$36,3,FALSE),""))</f>
        <v/>
      </c>
      <c r="AJ44" s="362" t="str">
        <f>IF(S44="","",VLOOKUP(S44,'G-3 Multipliers'!$A$2:$E$134,4,FALSE))</f>
        <v/>
      </c>
      <c r="AK44" s="370" t="str">
        <f t="shared" si="6"/>
        <v/>
      </c>
      <c r="AL44" s="370" t="str">
        <f t="shared" si="7"/>
        <v/>
      </c>
      <c r="AM44" s="401" t="str">
        <f>IFERROR(IF(F44="","",IF(AH44="Check Data ⚠","Check Data ⚠",VLOOKUP(AL44, 'G-3 Multipliers'!$P$2:$Q$6,2,FALSE))),"")</f>
        <v/>
      </c>
      <c r="AN44" s="376" t="str">
        <f t="shared" si="8"/>
        <v/>
      </c>
      <c r="AO44" s="194"/>
      <c r="AP44" s="195"/>
      <c r="AQ44" s="120"/>
    </row>
    <row r="45" spans="1:43" x14ac:dyDescent="0.2">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9"/>
        <v/>
      </c>
      <c r="R45" s="193" t="str">
        <f t="shared" si="10"/>
        <v/>
      </c>
      <c r="S45" s="306" t="str">
        <f>IFERROR(INDEX('G-1 All Habitats'!$B$3:$B$134,MATCH(R45,'G-1 All Habitats'!$A$3:$A$134,0)),"")</f>
        <v/>
      </c>
      <c r="T45" s="362" t="str">
        <f t="shared" si="1"/>
        <v/>
      </c>
      <c r="U45" s="363" t="str">
        <f t="shared" si="2"/>
        <v/>
      </c>
      <c r="V45" s="398" t="str">
        <f t="shared" si="3"/>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0"/>
        <v/>
      </c>
      <c r="AE45" s="63"/>
      <c r="AF45" s="63"/>
      <c r="AG45" s="370" t="str">
        <f t="shared" si="4"/>
        <v/>
      </c>
      <c r="AH45" s="383" t="str">
        <f t="shared" si="5"/>
        <v/>
      </c>
      <c r="AI45" s="384" t="str">
        <f>IF(AH45="Check Data","Check Data",IFERROR(VLOOKUP(AH45,'G-4 Temporal multipliers'!$A$4:$C$36,3,FALSE),""))</f>
        <v/>
      </c>
      <c r="AJ45" s="362" t="str">
        <f>IF(S45="","",VLOOKUP(S45,'G-3 Multipliers'!$A$2:$E$134,4,FALSE))</f>
        <v/>
      </c>
      <c r="AK45" s="370" t="str">
        <f t="shared" si="6"/>
        <v/>
      </c>
      <c r="AL45" s="370" t="str">
        <f t="shared" si="7"/>
        <v/>
      </c>
      <c r="AM45" s="401" t="str">
        <f>IFERROR(IF(F45="","",IF(AH45="Check Data ⚠","Check Data ⚠",VLOOKUP(AL45, 'G-3 Multipliers'!$P$2:$Q$6,2,FALSE))),"")</f>
        <v/>
      </c>
      <c r="AN45" s="376" t="str">
        <f t="shared" si="8"/>
        <v/>
      </c>
      <c r="AO45" s="194"/>
      <c r="AP45" s="195"/>
      <c r="AQ45" s="120"/>
    </row>
    <row r="46" spans="1:43" x14ac:dyDescent="0.2">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9"/>
        <v/>
      </c>
      <c r="R46" s="193" t="str">
        <f t="shared" si="10"/>
        <v/>
      </c>
      <c r="S46" s="306" t="str">
        <f>IFERROR(INDEX('G-1 All Habitats'!$B$3:$B$134,MATCH(R46,'G-1 All Habitats'!$A$3:$A$134,0)),"")</f>
        <v/>
      </c>
      <c r="T46" s="362" t="str">
        <f t="shared" si="1"/>
        <v/>
      </c>
      <c r="U46" s="363" t="str">
        <f t="shared" si="2"/>
        <v/>
      </c>
      <c r="V46" s="398" t="str">
        <f t="shared" si="3"/>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0"/>
        <v/>
      </c>
      <c r="AE46" s="63"/>
      <c r="AF46" s="63"/>
      <c r="AG46" s="370" t="str">
        <f t="shared" si="4"/>
        <v/>
      </c>
      <c r="AH46" s="383" t="str">
        <f t="shared" si="5"/>
        <v/>
      </c>
      <c r="AI46" s="384" t="str">
        <f>IF(AH46="Check Data","Check Data",IFERROR(VLOOKUP(AH46,'G-4 Temporal multipliers'!$A$4:$C$36,3,FALSE),""))</f>
        <v/>
      </c>
      <c r="AJ46" s="362" t="str">
        <f>IF(S46="","",VLOOKUP(S46,'G-3 Multipliers'!$A$2:$E$134,4,FALSE))</f>
        <v/>
      </c>
      <c r="AK46" s="370" t="str">
        <f t="shared" si="6"/>
        <v/>
      </c>
      <c r="AL46" s="370" t="str">
        <f t="shared" si="7"/>
        <v/>
      </c>
      <c r="AM46" s="401" t="str">
        <f>IFERROR(IF(F46="","",IF(AH46="Check Data ⚠","Check Data ⚠",VLOOKUP(AL46, 'G-3 Multipliers'!$P$2:$Q$6,2,FALSE))),"")</f>
        <v/>
      </c>
      <c r="AN46" s="376" t="str">
        <f t="shared" si="8"/>
        <v/>
      </c>
      <c r="AO46" s="194"/>
      <c r="AP46" s="195"/>
      <c r="AQ46" s="120"/>
    </row>
    <row r="47" spans="1:43" x14ac:dyDescent="0.2">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9"/>
        <v/>
      </c>
      <c r="R47" s="193" t="str">
        <f t="shared" si="10"/>
        <v/>
      </c>
      <c r="S47" s="306" t="str">
        <f>IFERROR(INDEX('G-1 All Habitats'!$B$3:$B$134,MATCH(R47,'G-1 All Habitats'!$A$3:$A$134,0)),"")</f>
        <v/>
      </c>
      <c r="T47" s="362" t="str">
        <f t="shared" si="1"/>
        <v/>
      </c>
      <c r="U47" s="363" t="str">
        <f t="shared" si="2"/>
        <v/>
      </c>
      <c r="V47" s="398" t="str">
        <f t="shared" si="3"/>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0"/>
        <v/>
      </c>
      <c r="AE47" s="63"/>
      <c r="AF47" s="63"/>
      <c r="AG47" s="370" t="str">
        <f t="shared" si="4"/>
        <v/>
      </c>
      <c r="AH47" s="383" t="str">
        <f t="shared" si="5"/>
        <v/>
      </c>
      <c r="AI47" s="384" t="str">
        <f>IF(AH47="Check Data","Check Data",IFERROR(VLOOKUP(AH47,'G-4 Temporal multipliers'!$A$4:$C$36,3,FALSE),""))</f>
        <v/>
      </c>
      <c r="AJ47" s="362" t="str">
        <f>IF(S47="","",VLOOKUP(S47,'G-3 Multipliers'!$A$2:$E$134,4,FALSE))</f>
        <v/>
      </c>
      <c r="AK47" s="370" t="str">
        <f t="shared" si="6"/>
        <v/>
      </c>
      <c r="AL47" s="370" t="str">
        <f t="shared" si="7"/>
        <v/>
      </c>
      <c r="AM47" s="401" t="str">
        <f>IFERROR(IF(F47="","",IF(AH47="Check Data ⚠","Check Data ⚠",VLOOKUP(AL47, 'G-3 Multipliers'!$P$2:$Q$6,2,FALSE))),"")</f>
        <v/>
      </c>
      <c r="AN47" s="376" t="str">
        <f t="shared" si="8"/>
        <v/>
      </c>
      <c r="AO47" s="194"/>
      <c r="AP47" s="195"/>
      <c r="AQ47" s="120"/>
    </row>
    <row r="48" spans="1:43" x14ac:dyDescent="0.2">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9"/>
        <v/>
      </c>
      <c r="R48" s="193" t="str">
        <f t="shared" si="10"/>
        <v/>
      </c>
      <c r="S48" s="306" t="str">
        <f>IFERROR(INDEX('G-1 All Habitats'!$B$3:$B$134,MATCH(R48,'G-1 All Habitats'!$A$3:$A$134,0)),"")</f>
        <v/>
      </c>
      <c r="T48" s="362" t="str">
        <f t="shared" si="1"/>
        <v/>
      </c>
      <c r="U48" s="363" t="str">
        <f t="shared" si="2"/>
        <v/>
      </c>
      <c r="V48" s="398" t="str">
        <f t="shared" si="3"/>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0"/>
        <v/>
      </c>
      <c r="AE48" s="63"/>
      <c r="AF48" s="63"/>
      <c r="AG48" s="370" t="str">
        <f t="shared" si="4"/>
        <v/>
      </c>
      <c r="AH48" s="383" t="str">
        <f t="shared" si="5"/>
        <v/>
      </c>
      <c r="AI48" s="384" t="str">
        <f>IF(AH48="Check Data","Check Data",IFERROR(VLOOKUP(AH48,'G-4 Temporal multipliers'!$A$4:$C$36,3,FALSE),""))</f>
        <v/>
      </c>
      <c r="AJ48" s="362" t="str">
        <f>IF(S48="","",VLOOKUP(S48,'G-3 Multipliers'!$A$2:$E$134,4,FALSE))</f>
        <v/>
      </c>
      <c r="AK48" s="370" t="str">
        <f t="shared" si="6"/>
        <v/>
      </c>
      <c r="AL48" s="370" t="str">
        <f t="shared" si="7"/>
        <v/>
      </c>
      <c r="AM48" s="401" t="str">
        <f>IFERROR(IF(F48="","",IF(AH48="Check Data ⚠","Check Data ⚠",VLOOKUP(AL48, 'G-3 Multipliers'!$P$2:$Q$6,2,FALSE))),"")</f>
        <v/>
      </c>
      <c r="AN48" s="376" t="str">
        <f t="shared" si="8"/>
        <v/>
      </c>
      <c r="AO48" s="194"/>
      <c r="AP48" s="195"/>
      <c r="AQ48" s="120"/>
    </row>
    <row r="49" spans="1:43" x14ac:dyDescent="0.2">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9"/>
        <v/>
      </c>
      <c r="R49" s="193" t="str">
        <f t="shared" si="10"/>
        <v/>
      </c>
      <c r="S49" s="306" t="str">
        <f>IFERROR(INDEX('G-1 All Habitats'!$B$3:$B$134,MATCH(R49,'G-1 All Habitats'!$A$3:$A$134,0)),"")</f>
        <v/>
      </c>
      <c r="T49" s="362" t="str">
        <f t="shared" si="1"/>
        <v/>
      </c>
      <c r="U49" s="363" t="str">
        <f t="shared" si="2"/>
        <v/>
      </c>
      <c r="V49" s="398" t="str">
        <f t="shared" si="3"/>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0"/>
        <v/>
      </c>
      <c r="AE49" s="63"/>
      <c r="AF49" s="63"/>
      <c r="AG49" s="370" t="str">
        <f t="shared" si="4"/>
        <v/>
      </c>
      <c r="AH49" s="383" t="str">
        <f t="shared" si="5"/>
        <v/>
      </c>
      <c r="AI49" s="384" t="str">
        <f>IF(AH49="Check Data","Check Data",IFERROR(VLOOKUP(AH49,'G-4 Temporal multipliers'!$A$4:$C$36,3,FALSE),""))</f>
        <v/>
      </c>
      <c r="AJ49" s="362" t="str">
        <f>IF(S49="","",VLOOKUP(S49,'G-3 Multipliers'!$A$2:$E$134,4,FALSE))</f>
        <v/>
      </c>
      <c r="AK49" s="370" t="str">
        <f t="shared" si="6"/>
        <v/>
      </c>
      <c r="AL49" s="370" t="str">
        <f t="shared" si="7"/>
        <v/>
      </c>
      <c r="AM49" s="401" t="str">
        <f>IFERROR(IF(F49="","",IF(AH49="Check Data ⚠","Check Data ⚠",VLOOKUP(AL49, 'G-3 Multipliers'!$P$2:$Q$6,2,FALSE))),"")</f>
        <v/>
      </c>
      <c r="AN49" s="376" t="str">
        <f t="shared" si="8"/>
        <v/>
      </c>
      <c r="AO49" s="194"/>
      <c r="AP49" s="195"/>
      <c r="AQ49" s="120"/>
    </row>
    <row r="50" spans="1:43" x14ac:dyDescent="0.2">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9"/>
        <v/>
      </c>
      <c r="R50" s="193" t="str">
        <f t="shared" si="10"/>
        <v/>
      </c>
      <c r="S50" s="306" t="str">
        <f>IFERROR(INDEX('G-1 All Habitats'!$B$3:$B$134,MATCH(R50,'G-1 All Habitats'!$A$3:$A$134,0)),"")</f>
        <v/>
      </c>
      <c r="T50" s="362" t="str">
        <f t="shared" si="1"/>
        <v/>
      </c>
      <c r="U50" s="363" t="str">
        <f t="shared" si="2"/>
        <v/>
      </c>
      <c r="V50" s="398" t="str">
        <f t="shared" si="3"/>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0"/>
        <v/>
      </c>
      <c r="AE50" s="63"/>
      <c r="AF50" s="63"/>
      <c r="AG50" s="370" t="str">
        <f t="shared" si="4"/>
        <v/>
      </c>
      <c r="AH50" s="383" t="str">
        <f t="shared" si="5"/>
        <v/>
      </c>
      <c r="AI50" s="384" t="str">
        <f>IF(AH50="Check Data","Check Data",IFERROR(VLOOKUP(AH50,'G-4 Temporal multipliers'!$A$4:$C$36,3,FALSE),""))</f>
        <v/>
      </c>
      <c r="AJ50" s="362" t="str">
        <f>IF(S50="","",VLOOKUP(S50,'G-3 Multipliers'!$A$2:$E$134,4,FALSE))</f>
        <v/>
      </c>
      <c r="AK50" s="370" t="str">
        <f t="shared" si="6"/>
        <v/>
      </c>
      <c r="AL50" s="370" t="str">
        <f t="shared" si="7"/>
        <v/>
      </c>
      <c r="AM50" s="401" t="str">
        <f>IFERROR(IF(F50="","",IF(AH50="Check Data ⚠","Check Data ⚠",VLOOKUP(AL50, 'G-3 Multipliers'!$P$2:$Q$6,2,FALSE))),"")</f>
        <v/>
      </c>
      <c r="AN50" s="376" t="str">
        <f t="shared" si="8"/>
        <v/>
      </c>
      <c r="AO50" s="194"/>
      <c r="AP50" s="195"/>
      <c r="AQ50" s="120"/>
    </row>
    <row r="51" spans="1:43" x14ac:dyDescent="0.2">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9"/>
        <v/>
      </c>
      <c r="R51" s="193" t="str">
        <f t="shared" si="10"/>
        <v/>
      </c>
      <c r="S51" s="306" t="str">
        <f>IFERROR(INDEX('G-1 All Habitats'!$B$3:$B$134,MATCH(R51,'G-1 All Habitats'!$A$3:$A$134,0)),"")</f>
        <v/>
      </c>
      <c r="T51" s="362" t="str">
        <f t="shared" si="1"/>
        <v/>
      </c>
      <c r="U51" s="363" t="str">
        <f t="shared" si="2"/>
        <v/>
      </c>
      <c r="V51" s="398" t="str">
        <f t="shared" si="3"/>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0"/>
        <v/>
      </c>
      <c r="AE51" s="63"/>
      <c r="AF51" s="63"/>
      <c r="AG51" s="370" t="str">
        <f t="shared" si="4"/>
        <v/>
      </c>
      <c r="AH51" s="383" t="str">
        <f t="shared" si="5"/>
        <v/>
      </c>
      <c r="AI51" s="384" t="str">
        <f>IF(AH51="Check Data","Check Data",IFERROR(VLOOKUP(AH51,'G-4 Temporal multipliers'!$A$4:$C$36,3,FALSE),""))</f>
        <v/>
      </c>
      <c r="AJ51" s="362" t="str">
        <f>IF(S51="","",VLOOKUP(S51,'G-3 Multipliers'!$A$2:$E$134,4,FALSE))</f>
        <v/>
      </c>
      <c r="AK51" s="370" t="str">
        <f t="shared" si="6"/>
        <v/>
      </c>
      <c r="AL51" s="370" t="str">
        <f t="shared" si="7"/>
        <v/>
      </c>
      <c r="AM51" s="401" t="str">
        <f>IFERROR(IF(F51="","",IF(AH51="Check Data ⚠","Check Data ⚠",VLOOKUP(AL51, 'G-3 Multipliers'!$P$2:$Q$6,2,FALSE))),"")</f>
        <v/>
      </c>
      <c r="AN51" s="376" t="str">
        <f t="shared" si="8"/>
        <v/>
      </c>
      <c r="AO51" s="194"/>
      <c r="AP51" s="195"/>
      <c r="AQ51" s="120"/>
    </row>
    <row r="52" spans="1:43" x14ac:dyDescent="0.2">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9"/>
        <v/>
      </c>
      <c r="R52" s="193" t="str">
        <f t="shared" si="10"/>
        <v/>
      </c>
      <c r="S52" s="306" t="str">
        <f>IFERROR(INDEX('G-1 All Habitats'!$B$3:$B$134,MATCH(R52,'G-1 All Habitats'!$A$3:$A$134,0)),"")</f>
        <v/>
      </c>
      <c r="T52" s="362" t="str">
        <f t="shared" si="1"/>
        <v/>
      </c>
      <c r="U52" s="363" t="str">
        <f t="shared" si="2"/>
        <v/>
      </c>
      <c r="V52" s="398" t="str">
        <f t="shared" si="3"/>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0"/>
        <v/>
      </c>
      <c r="AE52" s="63"/>
      <c r="AF52" s="63"/>
      <c r="AG52" s="370" t="str">
        <f t="shared" si="4"/>
        <v/>
      </c>
      <c r="AH52" s="383" t="str">
        <f t="shared" si="5"/>
        <v/>
      </c>
      <c r="AI52" s="384" t="str">
        <f>IF(AH52="Check Data","Check Data",IFERROR(VLOOKUP(AH52,'G-4 Temporal multipliers'!$A$4:$C$36,3,FALSE),""))</f>
        <v/>
      </c>
      <c r="AJ52" s="362" t="str">
        <f>IF(S52="","",VLOOKUP(S52,'G-3 Multipliers'!$A$2:$E$134,4,FALSE))</f>
        <v/>
      </c>
      <c r="AK52" s="370" t="str">
        <f t="shared" si="6"/>
        <v/>
      </c>
      <c r="AL52" s="370" t="str">
        <f t="shared" si="7"/>
        <v/>
      </c>
      <c r="AM52" s="401" t="str">
        <f>IFERROR(IF(F52="","",IF(AH52="Check Data ⚠","Check Data ⚠",VLOOKUP(AL52, 'G-3 Multipliers'!$P$2:$Q$6,2,FALSE))),"")</f>
        <v/>
      </c>
      <c r="AN52" s="376" t="str">
        <f t="shared" si="8"/>
        <v/>
      </c>
      <c r="AO52" s="194"/>
      <c r="AP52" s="195"/>
      <c r="AQ52" s="120"/>
    </row>
    <row r="53" spans="1:43" x14ac:dyDescent="0.2">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9"/>
        <v/>
      </c>
      <c r="R53" s="193" t="str">
        <f t="shared" si="10"/>
        <v/>
      </c>
      <c r="S53" s="306" t="str">
        <f>IFERROR(INDEX('G-1 All Habitats'!$B$3:$B$134,MATCH(R53,'G-1 All Habitats'!$A$3:$A$134,0)),"")</f>
        <v/>
      </c>
      <c r="T53" s="362" t="str">
        <f t="shared" si="1"/>
        <v/>
      </c>
      <c r="U53" s="363" t="str">
        <f t="shared" si="2"/>
        <v/>
      </c>
      <c r="V53" s="398" t="str">
        <f t="shared" si="3"/>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0"/>
        <v/>
      </c>
      <c r="AE53" s="63"/>
      <c r="AF53" s="63"/>
      <c r="AG53" s="370" t="str">
        <f t="shared" si="4"/>
        <v/>
      </c>
      <c r="AH53" s="383" t="str">
        <f t="shared" si="5"/>
        <v/>
      </c>
      <c r="AI53" s="384" t="str">
        <f>IF(AH53="Check Data","Check Data",IFERROR(VLOOKUP(AH53,'G-4 Temporal multipliers'!$A$4:$C$36,3,FALSE),""))</f>
        <v/>
      </c>
      <c r="AJ53" s="362" t="str">
        <f>IF(S53="","",VLOOKUP(S53,'G-3 Multipliers'!$A$2:$E$134,4,FALSE))</f>
        <v/>
      </c>
      <c r="AK53" s="370" t="str">
        <f t="shared" si="6"/>
        <v/>
      </c>
      <c r="AL53" s="370" t="str">
        <f t="shared" si="7"/>
        <v/>
      </c>
      <c r="AM53" s="401" t="str">
        <f>IFERROR(IF(F53="","",IF(AH53="Check Data ⚠","Check Data ⚠",VLOOKUP(AL53, 'G-3 Multipliers'!$P$2:$Q$6,2,FALSE))),"")</f>
        <v/>
      </c>
      <c r="AN53" s="376" t="str">
        <f t="shared" si="8"/>
        <v/>
      </c>
      <c r="AO53" s="194"/>
      <c r="AP53" s="195"/>
      <c r="AQ53" s="120"/>
    </row>
    <row r="54" spans="1:43" x14ac:dyDescent="0.2">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9"/>
        <v/>
      </c>
      <c r="R54" s="193" t="str">
        <f t="shared" si="10"/>
        <v/>
      </c>
      <c r="S54" s="306" t="str">
        <f>IFERROR(INDEX('G-1 All Habitats'!$B$3:$B$134,MATCH(R54,'G-1 All Habitats'!$A$3:$A$134,0)),"")</f>
        <v/>
      </c>
      <c r="T54" s="362" t="str">
        <f t="shared" si="1"/>
        <v/>
      </c>
      <c r="U54" s="363" t="str">
        <f t="shared" si="2"/>
        <v/>
      </c>
      <c r="V54" s="398" t="str">
        <f t="shared" si="3"/>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0"/>
        <v/>
      </c>
      <c r="AE54" s="63"/>
      <c r="AF54" s="63"/>
      <c r="AG54" s="370" t="str">
        <f t="shared" si="4"/>
        <v/>
      </c>
      <c r="AH54" s="383" t="str">
        <f t="shared" si="5"/>
        <v/>
      </c>
      <c r="AI54" s="384" t="str">
        <f>IF(AH54="Check Data","Check Data",IFERROR(VLOOKUP(AH54,'G-4 Temporal multipliers'!$A$4:$C$36,3,FALSE),""))</f>
        <v/>
      </c>
      <c r="AJ54" s="362" t="str">
        <f>IF(S54="","",VLOOKUP(S54,'G-3 Multipliers'!$A$2:$E$134,4,FALSE))</f>
        <v/>
      </c>
      <c r="AK54" s="370" t="str">
        <f t="shared" si="6"/>
        <v/>
      </c>
      <c r="AL54" s="370" t="str">
        <f t="shared" si="7"/>
        <v/>
      </c>
      <c r="AM54" s="401" t="str">
        <f>IFERROR(IF(F54="","",IF(AH54="Check Data ⚠","Check Data ⚠",VLOOKUP(AL54, 'G-3 Multipliers'!$P$2:$Q$6,2,FALSE))),"")</f>
        <v/>
      </c>
      <c r="AN54" s="376" t="str">
        <f t="shared" si="8"/>
        <v/>
      </c>
      <c r="AO54" s="194"/>
      <c r="AP54" s="195"/>
      <c r="AQ54" s="120"/>
    </row>
    <row r="55" spans="1:43" x14ac:dyDescent="0.2">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9"/>
        <v/>
      </c>
      <c r="R55" s="193" t="str">
        <f t="shared" si="10"/>
        <v/>
      </c>
      <c r="S55" s="306" t="str">
        <f>IFERROR(INDEX('G-1 All Habitats'!$B$3:$B$134,MATCH(R55,'G-1 All Habitats'!$A$3:$A$134,0)),"")</f>
        <v/>
      </c>
      <c r="T55" s="362" t="str">
        <f t="shared" si="1"/>
        <v/>
      </c>
      <c r="U55" s="363" t="str">
        <f t="shared" si="2"/>
        <v/>
      </c>
      <c r="V55" s="398" t="str">
        <f t="shared" si="3"/>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0"/>
        <v/>
      </c>
      <c r="AE55" s="63"/>
      <c r="AF55" s="63"/>
      <c r="AG55" s="370" t="str">
        <f t="shared" si="4"/>
        <v/>
      </c>
      <c r="AH55" s="383" t="str">
        <f t="shared" si="5"/>
        <v/>
      </c>
      <c r="AI55" s="384" t="str">
        <f>IF(AH55="Check Data","Check Data",IFERROR(VLOOKUP(AH55,'G-4 Temporal multipliers'!$A$4:$C$36,3,FALSE),""))</f>
        <v/>
      </c>
      <c r="AJ55" s="362" t="str">
        <f>IF(S55="","",VLOOKUP(S55,'G-3 Multipliers'!$A$2:$E$134,4,FALSE))</f>
        <v/>
      </c>
      <c r="AK55" s="370" t="str">
        <f t="shared" si="6"/>
        <v/>
      </c>
      <c r="AL55" s="370" t="str">
        <f t="shared" si="7"/>
        <v/>
      </c>
      <c r="AM55" s="401" t="str">
        <f>IFERROR(IF(F55="","",IF(AH55="Check Data ⚠","Check Data ⚠",VLOOKUP(AL55, 'G-3 Multipliers'!$P$2:$Q$6,2,FALSE))),"")</f>
        <v/>
      </c>
      <c r="AN55" s="376" t="str">
        <f t="shared" si="8"/>
        <v/>
      </c>
      <c r="AO55" s="194"/>
      <c r="AP55" s="195"/>
      <c r="AQ55" s="120"/>
    </row>
    <row r="56" spans="1:43" x14ac:dyDescent="0.2">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9"/>
        <v/>
      </c>
      <c r="R56" s="193" t="str">
        <f t="shared" si="10"/>
        <v/>
      </c>
      <c r="S56" s="306" t="str">
        <f>IFERROR(INDEX('G-1 All Habitats'!$B$3:$B$134,MATCH(R56,'G-1 All Habitats'!$A$3:$A$134,0)),"")</f>
        <v/>
      </c>
      <c r="T56" s="362" t="str">
        <f t="shared" si="1"/>
        <v/>
      </c>
      <c r="U56" s="363" t="str">
        <f t="shared" si="2"/>
        <v/>
      </c>
      <c r="V56" s="398" t="str">
        <f t="shared" si="3"/>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0"/>
        <v/>
      </c>
      <c r="AE56" s="63"/>
      <c r="AF56" s="63"/>
      <c r="AG56" s="370" t="str">
        <f t="shared" si="4"/>
        <v/>
      </c>
      <c r="AH56" s="383" t="str">
        <f t="shared" si="5"/>
        <v/>
      </c>
      <c r="AI56" s="384" t="str">
        <f>IF(AH56="Check Data","Check Data",IFERROR(VLOOKUP(AH56,'G-4 Temporal multipliers'!$A$4:$C$36,3,FALSE),""))</f>
        <v/>
      </c>
      <c r="AJ56" s="362" t="str">
        <f>IF(S56="","",VLOOKUP(S56,'G-3 Multipliers'!$A$2:$E$134,4,FALSE))</f>
        <v/>
      </c>
      <c r="AK56" s="370" t="str">
        <f t="shared" si="6"/>
        <v/>
      </c>
      <c r="AL56" s="370" t="str">
        <f t="shared" si="7"/>
        <v/>
      </c>
      <c r="AM56" s="401" t="str">
        <f>IFERROR(IF(F56="","",IF(AH56="Check Data ⚠","Check Data ⚠",VLOOKUP(AL56, 'G-3 Multipliers'!$P$2:$Q$6,2,FALSE))),"")</f>
        <v/>
      </c>
      <c r="AN56" s="376" t="str">
        <f t="shared" si="8"/>
        <v/>
      </c>
      <c r="AO56" s="194"/>
      <c r="AP56" s="195"/>
      <c r="AQ56" s="120"/>
    </row>
    <row r="57" spans="1:43" x14ac:dyDescent="0.2">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9"/>
        <v/>
      </c>
      <c r="R57" s="193" t="str">
        <f t="shared" si="10"/>
        <v/>
      </c>
      <c r="S57" s="306" t="str">
        <f>IFERROR(INDEX('G-1 All Habitats'!$B$3:$B$134,MATCH(R57,'G-1 All Habitats'!$A$3:$A$134,0)),"")</f>
        <v/>
      </c>
      <c r="T57" s="362" t="str">
        <f t="shared" si="1"/>
        <v/>
      </c>
      <c r="U57" s="363" t="str">
        <f t="shared" si="2"/>
        <v/>
      </c>
      <c r="V57" s="398" t="str">
        <f t="shared" si="3"/>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0"/>
        <v/>
      </c>
      <c r="AE57" s="63"/>
      <c r="AF57" s="63"/>
      <c r="AG57" s="370" t="str">
        <f t="shared" si="4"/>
        <v/>
      </c>
      <c r="AH57" s="383" t="str">
        <f t="shared" si="5"/>
        <v/>
      </c>
      <c r="AI57" s="384" t="str">
        <f>IF(AH57="Check Data","Check Data",IFERROR(VLOOKUP(AH57,'G-4 Temporal multipliers'!$A$4:$C$36,3,FALSE),""))</f>
        <v/>
      </c>
      <c r="AJ57" s="362" t="str">
        <f>IF(S57="","",VLOOKUP(S57,'G-3 Multipliers'!$A$2:$E$134,4,FALSE))</f>
        <v/>
      </c>
      <c r="AK57" s="370" t="str">
        <f t="shared" si="6"/>
        <v/>
      </c>
      <c r="AL57" s="370" t="str">
        <f t="shared" si="7"/>
        <v/>
      </c>
      <c r="AM57" s="401" t="str">
        <f>IFERROR(IF(F57="","",IF(AH57="Check Data ⚠","Check Data ⚠",VLOOKUP(AL57, 'G-3 Multipliers'!$P$2:$Q$6,2,FALSE))),"")</f>
        <v/>
      </c>
      <c r="AN57" s="376" t="str">
        <f t="shared" si="8"/>
        <v/>
      </c>
      <c r="AO57" s="194"/>
      <c r="AP57" s="195"/>
      <c r="AQ57" s="120"/>
    </row>
    <row r="58" spans="1:43" x14ac:dyDescent="0.2">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9"/>
        <v/>
      </c>
      <c r="R58" s="193" t="str">
        <f t="shared" si="10"/>
        <v/>
      </c>
      <c r="S58" s="306" t="str">
        <f>IFERROR(INDEX('G-1 All Habitats'!$B$3:$B$134,MATCH(R58,'G-1 All Habitats'!$A$3:$A$134,0)),"")</f>
        <v/>
      </c>
      <c r="T58" s="362" t="str">
        <f t="shared" si="1"/>
        <v/>
      </c>
      <c r="U58" s="363" t="str">
        <f t="shared" si="2"/>
        <v/>
      </c>
      <c r="V58" s="398" t="str">
        <f t="shared" si="3"/>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0"/>
        <v/>
      </c>
      <c r="AE58" s="63"/>
      <c r="AF58" s="63"/>
      <c r="AG58" s="370" t="str">
        <f t="shared" si="4"/>
        <v/>
      </c>
      <c r="AH58" s="383" t="str">
        <f t="shared" si="5"/>
        <v/>
      </c>
      <c r="AI58" s="384" t="str">
        <f>IF(AH58="Check Data","Check Data",IFERROR(VLOOKUP(AH58,'G-4 Temporal multipliers'!$A$4:$C$36,3,FALSE),""))</f>
        <v/>
      </c>
      <c r="AJ58" s="362" t="str">
        <f>IF(S58="","",VLOOKUP(S58,'G-3 Multipliers'!$A$2:$E$134,4,FALSE))</f>
        <v/>
      </c>
      <c r="AK58" s="370" t="str">
        <f t="shared" si="6"/>
        <v/>
      </c>
      <c r="AL58" s="370" t="str">
        <f t="shared" si="7"/>
        <v/>
      </c>
      <c r="AM58" s="401" t="str">
        <f>IFERROR(IF(F58="","",IF(AH58="Check Data ⚠","Check Data ⚠",VLOOKUP(AL58, 'G-3 Multipliers'!$P$2:$Q$6,2,FALSE))),"")</f>
        <v/>
      </c>
      <c r="AN58" s="376" t="str">
        <f t="shared" si="8"/>
        <v/>
      </c>
      <c r="AO58" s="194"/>
      <c r="AP58" s="195"/>
      <c r="AQ58" s="120"/>
    </row>
    <row r="59" spans="1:43" x14ac:dyDescent="0.2">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9"/>
        <v/>
      </c>
      <c r="R59" s="193" t="str">
        <f t="shared" si="10"/>
        <v/>
      </c>
      <c r="S59" s="306" t="str">
        <f>IFERROR(INDEX('G-1 All Habitats'!$B$3:$B$134,MATCH(R59,'G-1 All Habitats'!$A$3:$A$134,0)),"")</f>
        <v/>
      </c>
      <c r="T59" s="362" t="str">
        <f t="shared" si="1"/>
        <v/>
      </c>
      <c r="U59" s="363" t="str">
        <f t="shared" si="2"/>
        <v/>
      </c>
      <c r="V59" s="398" t="str">
        <f t="shared" si="3"/>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0"/>
        <v/>
      </c>
      <c r="AE59" s="63"/>
      <c r="AF59" s="63"/>
      <c r="AG59" s="370" t="str">
        <f t="shared" si="4"/>
        <v/>
      </c>
      <c r="AH59" s="383" t="str">
        <f t="shared" si="5"/>
        <v/>
      </c>
      <c r="AI59" s="384" t="str">
        <f>IF(AH59="Check Data","Check Data",IFERROR(VLOOKUP(AH59,'G-4 Temporal multipliers'!$A$4:$C$36,3,FALSE),""))</f>
        <v/>
      </c>
      <c r="AJ59" s="362" t="str">
        <f>IF(S59="","",VLOOKUP(S59,'G-3 Multipliers'!$A$2:$E$134,4,FALSE))</f>
        <v/>
      </c>
      <c r="AK59" s="370" t="str">
        <f t="shared" si="6"/>
        <v/>
      </c>
      <c r="AL59" s="370" t="str">
        <f t="shared" si="7"/>
        <v/>
      </c>
      <c r="AM59" s="401" t="str">
        <f>IFERROR(IF(F59="","",IF(AH59="Check Data ⚠","Check Data ⚠",VLOOKUP(AL59, 'G-3 Multipliers'!$P$2:$Q$6,2,FALSE))),"")</f>
        <v/>
      </c>
      <c r="AN59" s="376" t="str">
        <f t="shared" si="8"/>
        <v/>
      </c>
      <c r="AO59" s="194"/>
      <c r="AP59" s="195"/>
      <c r="AQ59" s="120"/>
    </row>
    <row r="60" spans="1:43" x14ac:dyDescent="0.2">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9"/>
        <v/>
      </c>
      <c r="R60" s="193" t="str">
        <f t="shared" si="10"/>
        <v/>
      </c>
      <c r="S60" s="306" t="str">
        <f>IFERROR(INDEX('G-1 All Habitats'!$B$3:$B$134,MATCH(R60,'G-1 All Habitats'!$A$3:$A$134,0)),"")</f>
        <v/>
      </c>
      <c r="T60" s="362" t="str">
        <f t="shared" si="1"/>
        <v/>
      </c>
      <c r="U60" s="363" t="str">
        <f t="shared" si="2"/>
        <v/>
      </c>
      <c r="V60" s="398" t="str">
        <f t="shared" si="3"/>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0"/>
        <v/>
      </c>
      <c r="AE60" s="63"/>
      <c r="AF60" s="63"/>
      <c r="AG60" s="370" t="str">
        <f t="shared" si="4"/>
        <v/>
      </c>
      <c r="AH60" s="383" t="str">
        <f t="shared" si="5"/>
        <v/>
      </c>
      <c r="AI60" s="384" t="str">
        <f>IF(AH60="Check Data","Check Data",IFERROR(VLOOKUP(AH60,'G-4 Temporal multipliers'!$A$4:$C$36,3,FALSE),""))</f>
        <v/>
      </c>
      <c r="AJ60" s="362" t="str">
        <f>IF(S60="","",VLOOKUP(S60,'G-3 Multipliers'!$A$2:$E$134,4,FALSE))</f>
        <v/>
      </c>
      <c r="AK60" s="370" t="str">
        <f t="shared" si="6"/>
        <v/>
      </c>
      <c r="AL60" s="370" t="str">
        <f t="shared" si="7"/>
        <v/>
      </c>
      <c r="AM60" s="401" t="str">
        <f>IFERROR(IF(F60="","",IF(AH60="Check Data ⚠","Check Data ⚠",VLOOKUP(AL60, 'G-3 Multipliers'!$P$2:$Q$6,2,FALSE))),"")</f>
        <v/>
      </c>
      <c r="AN60" s="376" t="str">
        <f t="shared" si="8"/>
        <v/>
      </c>
      <c r="AO60" s="194"/>
      <c r="AP60" s="195"/>
      <c r="AQ60" s="120"/>
    </row>
    <row r="61" spans="1:43" x14ac:dyDescent="0.2">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9"/>
        <v/>
      </c>
      <c r="R61" s="193" t="str">
        <f t="shared" si="10"/>
        <v/>
      </c>
      <c r="S61" s="306" t="str">
        <f>IFERROR(INDEX('G-1 All Habitats'!$B$3:$B$134,MATCH(R61,'G-1 All Habitats'!$A$3:$A$134,0)),"")</f>
        <v/>
      </c>
      <c r="T61" s="362" t="str">
        <f t="shared" si="1"/>
        <v/>
      </c>
      <c r="U61" s="363" t="str">
        <f t="shared" si="2"/>
        <v/>
      </c>
      <c r="V61" s="398" t="str">
        <f t="shared" si="3"/>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0"/>
        <v/>
      </c>
      <c r="AE61" s="63"/>
      <c r="AF61" s="63"/>
      <c r="AG61" s="370" t="str">
        <f t="shared" si="4"/>
        <v/>
      </c>
      <c r="AH61" s="383" t="str">
        <f t="shared" si="5"/>
        <v/>
      </c>
      <c r="AI61" s="384" t="str">
        <f>IF(AH61="Check Data","Check Data",IFERROR(VLOOKUP(AH61,'G-4 Temporal multipliers'!$A$4:$C$36,3,FALSE),""))</f>
        <v/>
      </c>
      <c r="AJ61" s="362" t="str">
        <f>IF(S61="","",VLOOKUP(S61,'G-3 Multipliers'!$A$2:$E$134,4,FALSE))</f>
        <v/>
      </c>
      <c r="AK61" s="370" t="str">
        <f t="shared" si="6"/>
        <v/>
      </c>
      <c r="AL61" s="370" t="str">
        <f t="shared" si="7"/>
        <v/>
      </c>
      <c r="AM61" s="401" t="str">
        <f>IFERROR(IF(F61="","",IF(AH61="Check Data ⚠","Check Data ⚠",VLOOKUP(AL61, 'G-3 Multipliers'!$P$2:$Q$6,2,FALSE))),"")</f>
        <v/>
      </c>
      <c r="AN61" s="376" t="str">
        <f t="shared" si="8"/>
        <v/>
      </c>
      <c r="AO61" s="194"/>
      <c r="AP61" s="195"/>
      <c r="AQ61" s="120"/>
    </row>
    <row r="62" spans="1:43" x14ac:dyDescent="0.2">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9"/>
        <v/>
      </c>
      <c r="R62" s="193" t="str">
        <f t="shared" si="10"/>
        <v/>
      </c>
      <c r="S62" s="306" t="str">
        <f>IFERROR(INDEX('G-1 All Habitats'!$B$3:$B$134,MATCH(R62,'G-1 All Habitats'!$A$3:$A$134,0)),"")</f>
        <v/>
      </c>
      <c r="T62" s="362" t="str">
        <f t="shared" si="1"/>
        <v/>
      </c>
      <c r="U62" s="363" t="str">
        <f t="shared" si="2"/>
        <v/>
      </c>
      <c r="V62" s="398" t="str">
        <f t="shared" si="3"/>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0"/>
        <v/>
      </c>
      <c r="AE62" s="63"/>
      <c r="AF62" s="63"/>
      <c r="AG62" s="370" t="str">
        <f t="shared" si="4"/>
        <v/>
      </c>
      <c r="AH62" s="383" t="str">
        <f t="shared" si="5"/>
        <v/>
      </c>
      <c r="AI62" s="384" t="str">
        <f>IF(AH62="Check Data","Check Data",IFERROR(VLOOKUP(AH62,'G-4 Temporal multipliers'!$A$4:$C$36,3,FALSE),""))</f>
        <v/>
      </c>
      <c r="AJ62" s="362" t="str">
        <f>IF(S62="","",VLOOKUP(S62,'G-3 Multipliers'!$A$2:$E$134,4,FALSE))</f>
        <v/>
      </c>
      <c r="AK62" s="370" t="str">
        <f t="shared" si="6"/>
        <v/>
      </c>
      <c r="AL62" s="370" t="str">
        <f t="shared" si="7"/>
        <v/>
      </c>
      <c r="AM62" s="401" t="str">
        <f>IFERROR(IF(F62="","",IF(AH62="Check Data ⚠","Check Data ⚠",VLOOKUP(AL62, 'G-3 Multipliers'!$P$2:$Q$6,2,FALSE))),"")</f>
        <v/>
      </c>
      <c r="AN62" s="376" t="str">
        <f t="shared" si="8"/>
        <v/>
      </c>
      <c r="AO62" s="194"/>
      <c r="AP62" s="195"/>
      <c r="AQ62" s="120"/>
    </row>
    <row r="63" spans="1:43" x14ac:dyDescent="0.2">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9"/>
        <v/>
      </c>
      <c r="R63" s="193" t="str">
        <f t="shared" si="10"/>
        <v/>
      </c>
      <c r="S63" s="306" t="str">
        <f>IFERROR(INDEX('G-1 All Habitats'!$B$3:$B$134,MATCH(R63,'G-1 All Habitats'!$A$3:$A$134,0)),"")</f>
        <v/>
      </c>
      <c r="T63" s="362" t="str">
        <f t="shared" si="1"/>
        <v/>
      </c>
      <c r="U63" s="363" t="str">
        <f t="shared" si="2"/>
        <v/>
      </c>
      <c r="V63" s="398" t="str">
        <f t="shared" si="3"/>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0"/>
        <v/>
      </c>
      <c r="AE63" s="63"/>
      <c r="AF63" s="63"/>
      <c r="AG63" s="370" t="str">
        <f t="shared" si="4"/>
        <v/>
      </c>
      <c r="AH63" s="383" t="str">
        <f t="shared" si="5"/>
        <v/>
      </c>
      <c r="AI63" s="384" t="str">
        <f>IF(AH63="Check Data","Check Data",IFERROR(VLOOKUP(AH63,'G-4 Temporal multipliers'!$A$4:$C$36,3,FALSE),""))</f>
        <v/>
      </c>
      <c r="AJ63" s="362" t="str">
        <f>IF(S63="","",VLOOKUP(S63,'G-3 Multipliers'!$A$2:$E$134,4,FALSE))</f>
        <v/>
      </c>
      <c r="AK63" s="370" t="str">
        <f t="shared" si="6"/>
        <v/>
      </c>
      <c r="AL63" s="370" t="str">
        <f t="shared" si="7"/>
        <v/>
      </c>
      <c r="AM63" s="401" t="str">
        <f>IFERROR(IF(F63="","",IF(AH63="Check Data ⚠","Check Data ⚠",VLOOKUP(AL63, 'G-3 Multipliers'!$P$2:$Q$6,2,FALSE))),"")</f>
        <v/>
      </c>
      <c r="AN63" s="376" t="str">
        <f t="shared" si="8"/>
        <v/>
      </c>
      <c r="AO63" s="194"/>
      <c r="AP63" s="195"/>
      <c r="AQ63" s="120"/>
    </row>
    <row r="64" spans="1:43" x14ac:dyDescent="0.2">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9"/>
        <v/>
      </c>
      <c r="R64" s="193" t="str">
        <f t="shared" si="10"/>
        <v/>
      </c>
      <c r="S64" s="306" t="str">
        <f>IFERROR(INDEX('G-1 All Habitats'!$B$3:$B$134,MATCH(R64,'G-1 All Habitats'!$A$3:$A$134,0)),"")</f>
        <v/>
      </c>
      <c r="T64" s="362" t="str">
        <f t="shared" si="1"/>
        <v/>
      </c>
      <c r="U64" s="363" t="str">
        <f t="shared" si="2"/>
        <v/>
      </c>
      <c r="V64" s="398" t="str">
        <f t="shared" si="3"/>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0"/>
        <v/>
      </c>
      <c r="AE64" s="63"/>
      <c r="AF64" s="63"/>
      <c r="AG64" s="370" t="str">
        <f t="shared" si="4"/>
        <v/>
      </c>
      <c r="AH64" s="383" t="str">
        <f t="shared" si="5"/>
        <v/>
      </c>
      <c r="AI64" s="384" t="str">
        <f>IF(AH64="Check Data","Check Data",IFERROR(VLOOKUP(AH64,'G-4 Temporal multipliers'!$A$4:$C$36,3,FALSE),""))</f>
        <v/>
      </c>
      <c r="AJ64" s="362" t="str">
        <f>IF(S64="","",VLOOKUP(S64,'G-3 Multipliers'!$A$2:$E$134,4,FALSE))</f>
        <v/>
      </c>
      <c r="AK64" s="370" t="str">
        <f t="shared" si="6"/>
        <v/>
      </c>
      <c r="AL64" s="370" t="str">
        <f t="shared" si="7"/>
        <v/>
      </c>
      <c r="AM64" s="401" t="str">
        <f>IFERROR(IF(F64="","",IF(AH64="Check Data ⚠","Check Data ⚠",VLOOKUP(AL64, 'G-3 Multipliers'!$P$2:$Q$6,2,FALSE))),"")</f>
        <v/>
      </c>
      <c r="AN64" s="376" t="str">
        <f t="shared" si="8"/>
        <v/>
      </c>
      <c r="AO64" s="194"/>
      <c r="AP64" s="195"/>
      <c r="AQ64" s="120"/>
    </row>
    <row r="65" spans="1:43" x14ac:dyDescent="0.2">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9"/>
        <v/>
      </c>
      <c r="R65" s="193" t="str">
        <f t="shared" si="10"/>
        <v/>
      </c>
      <c r="S65" s="306" t="str">
        <f>IFERROR(INDEX('G-1 All Habitats'!$B$3:$B$134,MATCH(R65,'G-1 All Habitats'!$A$3:$A$134,0)),"")</f>
        <v/>
      </c>
      <c r="T65" s="362" t="str">
        <f t="shared" si="1"/>
        <v/>
      </c>
      <c r="U65" s="363" t="str">
        <f t="shared" si="2"/>
        <v/>
      </c>
      <c r="V65" s="398" t="str">
        <f t="shared" si="3"/>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0"/>
        <v/>
      </c>
      <c r="AE65" s="63"/>
      <c r="AF65" s="63"/>
      <c r="AG65" s="370" t="str">
        <f t="shared" si="4"/>
        <v/>
      </c>
      <c r="AH65" s="383" t="str">
        <f t="shared" si="5"/>
        <v/>
      </c>
      <c r="AI65" s="384" t="str">
        <f>IF(AH65="Check Data","Check Data",IFERROR(VLOOKUP(AH65,'G-4 Temporal multipliers'!$A$4:$C$36,3,FALSE),""))</f>
        <v/>
      </c>
      <c r="AJ65" s="362" t="str">
        <f>IF(S65="","",VLOOKUP(S65,'G-3 Multipliers'!$A$2:$E$134,4,FALSE))</f>
        <v/>
      </c>
      <c r="AK65" s="370" t="str">
        <f t="shared" si="6"/>
        <v/>
      </c>
      <c r="AL65" s="370" t="str">
        <f t="shared" si="7"/>
        <v/>
      </c>
      <c r="AM65" s="401" t="str">
        <f>IFERROR(IF(F65="","",IF(AH65="Check Data ⚠","Check Data ⚠",VLOOKUP(AL65, 'G-3 Multipliers'!$P$2:$Q$6,2,FALSE))),"")</f>
        <v/>
      </c>
      <c r="AN65" s="376" t="str">
        <f t="shared" si="8"/>
        <v/>
      </c>
      <c r="AO65" s="194"/>
      <c r="AP65" s="195"/>
      <c r="AQ65" s="120"/>
    </row>
    <row r="66" spans="1:43" x14ac:dyDescent="0.2">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9"/>
        <v/>
      </c>
      <c r="R66" s="193" t="str">
        <f t="shared" si="10"/>
        <v/>
      </c>
      <c r="S66" s="306" t="str">
        <f>IFERROR(INDEX('G-1 All Habitats'!$B$3:$B$134,MATCH(R66,'G-1 All Habitats'!$A$3:$A$134,0)),"")</f>
        <v/>
      </c>
      <c r="T66" s="362" t="str">
        <f t="shared" si="1"/>
        <v/>
      </c>
      <c r="U66" s="363" t="str">
        <f t="shared" si="2"/>
        <v/>
      </c>
      <c r="V66" s="398" t="str">
        <f t="shared" si="3"/>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0"/>
        <v/>
      </c>
      <c r="AE66" s="63"/>
      <c r="AF66" s="63"/>
      <c r="AG66" s="370" t="str">
        <f t="shared" si="4"/>
        <v/>
      </c>
      <c r="AH66" s="383" t="str">
        <f t="shared" si="5"/>
        <v/>
      </c>
      <c r="AI66" s="384" t="str">
        <f>IF(AH66="Check Data","Check Data",IFERROR(VLOOKUP(AH66,'G-4 Temporal multipliers'!$A$4:$C$36,3,FALSE),""))</f>
        <v/>
      </c>
      <c r="AJ66" s="362" t="str">
        <f>IF(S66="","",VLOOKUP(S66,'G-3 Multipliers'!$A$2:$E$134,4,FALSE))</f>
        <v/>
      </c>
      <c r="AK66" s="370" t="str">
        <f t="shared" si="6"/>
        <v/>
      </c>
      <c r="AL66" s="370" t="str">
        <f t="shared" si="7"/>
        <v/>
      </c>
      <c r="AM66" s="401" t="str">
        <f>IFERROR(IF(F66="","",IF(AH66="Check Data ⚠","Check Data ⚠",VLOOKUP(AL66, 'G-3 Multipliers'!$P$2:$Q$6,2,FALSE))),"")</f>
        <v/>
      </c>
      <c r="AN66" s="376" t="str">
        <f t="shared" si="8"/>
        <v/>
      </c>
      <c r="AO66" s="194"/>
      <c r="AP66" s="195"/>
      <c r="AQ66" s="120"/>
    </row>
    <row r="67" spans="1:43" x14ac:dyDescent="0.2">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9"/>
        <v/>
      </c>
      <c r="R67" s="193" t="str">
        <f t="shared" si="10"/>
        <v/>
      </c>
      <c r="S67" s="306" t="str">
        <f>IFERROR(INDEX('G-1 All Habitats'!$B$3:$B$134,MATCH(R67,'G-1 All Habitats'!$A$3:$A$134,0)),"")</f>
        <v/>
      </c>
      <c r="T67" s="362" t="str">
        <f t="shared" si="1"/>
        <v/>
      </c>
      <c r="U67" s="363" t="str">
        <f t="shared" si="2"/>
        <v/>
      </c>
      <c r="V67" s="398" t="str">
        <f t="shared" si="3"/>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0"/>
        <v/>
      </c>
      <c r="AE67" s="63"/>
      <c r="AF67" s="63"/>
      <c r="AG67" s="370" t="str">
        <f t="shared" si="4"/>
        <v/>
      </c>
      <c r="AH67" s="383" t="str">
        <f t="shared" si="5"/>
        <v/>
      </c>
      <c r="AI67" s="384" t="str">
        <f>IF(AH67="Check Data","Check Data",IFERROR(VLOOKUP(AH67,'G-4 Temporal multipliers'!$A$4:$C$36,3,FALSE),""))</f>
        <v/>
      </c>
      <c r="AJ67" s="362" t="str">
        <f>IF(S67="","",VLOOKUP(S67,'G-3 Multipliers'!$A$2:$E$134,4,FALSE))</f>
        <v/>
      </c>
      <c r="AK67" s="370" t="str">
        <f t="shared" si="6"/>
        <v/>
      </c>
      <c r="AL67" s="370" t="str">
        <f t="shared" si="7"/>
        <v/>
      </c>
      <c r="AM67" s="401" t="str">
        <f>IFERROR(IF(F67="","",IF(AH67="Check Data ⚠","Check Data ⚠",VLOOKUP(AL67, 'G-3 Multipliers'!$P$2:$Q$6,2,FALSE))),"")</f>
        <v/>
      </c>
      <c r="AN67" s="376" t="str">
        <f t="shared" si="8"/>
        <v/>
      </c>
      <c r="AO67" s="194"/>
      <c r="AP67" s="195"/>
      <c r="AQ67" s="120"/>
    </row>
    <row r="68" spans="1:43" x14ac:dyDescent="0.2">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9"/>
        <v/>
      </c>
      <c r="R68" s="193" t="str">
        <f t="shared" si="10"/>
        <v/>
      </c>
      <c r="S68" s="306" t="str">
        <f>IFERROR(INDEX('G-1 All Habitats'!$B$3:$B$134,MATCH(R68,'G-1 All Habitats'!$A$3:$A$134,0)),"")</f>
        <v/>
      </c>
      <c r="T68" s="362" t="str">
        <f t="shared" si="1"/>
        <v/>
      </c>
      <c r="U68" s="363" t="str">
        <f t="shared" si="2"/>
        <v/>
      </c>
      <c r="V68" s="398" t="str">
        <f t="shared" si="3"/>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0"/>
        <v/>
      </c>
      <c r="AE68" s="63"/>
      <c r="AF68" s="63"/>
      <c r="AG68" s="370" t="str">
        <f t="shared" si="4"/>
        <v/>
      </c>
      <c r="AH68" s="383" t="str">
        <f t="shared" si="5"/>
        <v/>
      </c>
      <c r="AI68" s="384" t="str">
        <f>IF(AH68="Check Data","Check Data",IFERROR(VLOOKUP(AH68,'G-4 Temporal multipliers'!$A$4:$C$36,3,FALSE),""))</f>
        <v/>
      </c>
      <c r="AJ68" s="362" t="str">
        <f>IF(S68="","",VLOOKUP(S68,'G-3 Multipliers'!$A$2:$E$134,4,FALSE))</f>
        <v/>
      </c>
      <c r="AK68" s="370" t="str">
        <f t="shared" si="6"/>
        <v/>
      </c>
      <c r="AL68" s="370" t="str">
        <f t="shared" si="7"/>
        <v/>
      </c>
      <c r="AM68" s="401" t="str">
        <f>IFERROR(IF(F68="","",IF(AH68="Check Data ⚠","Check Data ⚠",VLOOKUP(AL68, 'G-3 Multipliers'!$P$2:$Q$6,2,FALSE))),"")</f>
        <v/>
      </c>
      <c r="AN68" s="376" t="str">
        <f t="shared" si="8"/>
        <v/>
      </c>
      <c r="AO68" s="194"/>
      <c r="AP68" s="195"/>
      <c r="AQ68" s="120"/>
    </row>
    <row r="69" spans="1:43" x14ac:dyDescent="0.2">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9"/>
        <v/>
      </c>
      <c r="R69" s="193" t="str">
        <f t="shared" si="10"/>
        <v/>
      </c>
      <c r="S69" s="306" t="str">
        <f>IFERROR(INDEX('G-1 All Habitats'!$B$3:$B$134,MATCH(R69,'G-1 All Habitats'!$A$3:$A$134,0)),"")</f>
        <v/>
      </c>
      <c r="T69" s="362" t="str">
        <f t="shared" si="1"/>
        <v/>
      </c>
      <c r="U69" s="363" t="str">
        <f t="shared" si="2"/>
        <v/>
      </c>
      <c r="V69" s="398" t="str">
        <f t="shared" si="3"/>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0"/>
        <v/>
      </c>
      <c r="AE69" s="63"/>
      <c r="AF69" s="63"/>
      <c r="AG69" s="370" t="str">
        <f t="shared" si="4"/>
        <v/>
      </c>
      <c r="AH69" s="383" t="str">
        <f t="shared" si="5"/>
        <v/>
      </c>
      <c r="AI69" s="384" t="str">
        <f>IF(AH69="Check Data","Check Data",IFERROR(VLOOKUP(AH69,'G-4 Temporal multipliers'!$A$4:$C$36,3,FALSE),""))</f>
        <v/>
      </c>
      <c r="AJ69" s="362" t="str">
        <f>IF(S69="","",VLOOKUP(S69,'G-3 Multipliers'!$A$2:$E$134,4,FALSE))</f>
        <v/>
      </c>
      <c r="AK69" s="370" t="str">
        <f t="shared" si="6"/>
        <v/>
      </c>
      <c r="AL69" s="370" t="str">
        <f t="shared" si="7"/>
        <v/>
      </c>
      <c r="AM69" s="401" t="str">
        <f>IFERROR(IF(F69="","",IF(AH69="Check Data ⚠","Check Data ⚠",VLOOKUP(AL69, 'G-3 Multipliers'!$P$2:$Q$6,2,FALSE))),"")</f>
        <v/>
      </c>
      <c r="AN69" s="376" t="str">
        <f t="shared" si="8"/>
        <v/>
      </c>
      <c r="AO69" s="194"/>
      <c r="AP69" s="195"/>
      <c r="AQ69" s="120"/>
    </row>
    <row r="70" spans="1:43" x14ac:dyDescent="0.2">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9"/>
        <v/>
      </c>
      <c r="R70" s="193" t="str">
        <f t="shared" si="10"/>
        <v/>
      </c>
      <c r="S70" s="306" t="str">
        <f>IFERROR(INDEX('G-1 All Habitats'!$B$3:$B$134,MATCH(R70,'G-1 All Habitats'!$A$3:$A$134,0)),"")</f>
        <v/>
      </c>
      <c r="T70" s="362" t="str">
        <f t="shared" si="1"/>
        <v/>
      </c>
      <c r="U70" s="363" t="str">
        <f t="shared" si="2"/>
        <v/>
      </c>
      <c r="V70" s="398" t="str">
        <f t="shared" si="3"/>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0"/>
        <v/>
      </c>
      <c r="AE70" s="63"/>
      <c r="AF70" s="63"/>
      <c r="AG70" s="370" t="str">
        <f t="shared" si="4"/>
        <v/>
      </c>
      <c r="AH70" s="383" t="str">
        <f t="shared" si="5"/>
        <v/>
      </c>
      <c r="AI70" s="384" t="str">
        <f>IF(AH70="Check Data","Check Data",IFERROR(VLOOKUP(AH70,'G-4 Temporal multipliers'!$A$4:$C$36,3,FALSE),""))</f>
        <v/>
      </c>
      <c r="AJ70" s="362" t="str">
        <f>IF(S70="","",VLOOKUP(S70,'G-3 Multipliers'!$A$2:$E$134,4,FALSE))</f>
        <v/>
      </c>
      <c r="AK70" s="370" t="str">
        <f t="shared" si="6"/>
        <v/>
      </c>
      <c r="AL70" s="370" t="str">
        <f t="shared" si="7"/>
        <v/>
      </c>
      <c r="AM70" s="401" t="str">
        <f>IFERROR(IF(F70="","",IF(AH70="Check Data ⚠","Check Data ⚠",VLOOKUP(AL70, 'G-3 Multipliers'!$P$2:$Q$6,2,FALSE))),"")</f>
        <v/>
      </c>
      <c r="AN70" s="376" t="str">
        <f t="shared" si="8"/>
        <v/>
      </c>
      <c r="AO70" s="194"/>
      <c r="AP70" s="195"/>
      <c r="AQ70" s="120"/>
    </row>
    <row r="71" spans="1:43" x14ac:dyDescent="0.2">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9"/>
        <v/>
      </c>
      <c r="R71" s="193" t="str">
        <f t="shared" si="10"/>
        <v/>
      </c>
      <c r="S71" s="306" t="str">
        <f>IFERROR(INDEX('G-1 All Habitats'!$B$3:$B$134,MATCH(R71,'G-1 All Habitats'!$A$3:$A$134,0)),"")</f>
        <v/>
      </c>
      <c r="T71" s="362" t="str">
        <f t="shared" si="1"/>
        <v/>
      </c>
      <c r="U71" s="363" t="str">
        <f t="shared" si="2"/>
        <v/>
      </c>
      <c r="V71" s="398" t="str">
        <f t="shared" si="3"/>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0"/>
        <v/>
      </c>
      <c r="AE71" s="63"/>
      <c r="AF71" s="63"/>
      <c r="AG71" s="370" t="str">
        <f t="shared" si="4"/>
        <v/>
      </c>
      <c r="AH71" s="383" t="str">
        <f t="shared" si="5"/>
        <v/>
      </c>
      <c r="AI71" s="384" t="str">
        <f>IF(AH71="Check Data","Check Data",IFERROR(VLOOKUP(AH71,'G-4 Temporal multipliers'!$A$4:$C$36,3,FALSE),""))</f>
        <v/>
      </c>
      <c r="AJ71" s="362" t="str">
        <f>IF(S71="","",VLOOKUP(S71,'G-3 Multipliers'!$A$2:$E$134,4,FALSE))</f>
        <v/>
      </c>
      <c r="AK71" s="370" t="str">
        <f t="shared" si="6"/>
        <v/>
      </c>
      <c r="AL71" s="370" t="str">
        <f t="shared" si="7"/>
        <v/>
      </c>
      <c r="AM71" s="401" t="str">
        <f>IFERROR(IF(F71="","",IF(AH71="Check Data ⚠","Check Data ⚠",VLOOKUP(AL71, 'G-3 Multipliers'!$P$2:$Q$6,2,FALSE))),"")</f>
        <v/>
      </c>
      <c r="AN71" s="376" t="str">
        <f t="shared" si="8"/>
        <v/>
      </c>
      <c r="AO71" s="194"/>
      <c r="AP71" s="195"/>
      <c r="AQ71" s="120"/>
    </row>
    <row r="72" spans="1:43" x14ac:dyDescent="0.2">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9"/>
        <v/>
      </c>
      <c r="R72" s="193" t="str">
        <f t="shared" si="10"/>
        <v/>
      </c>
      <c r="S72" s="306" t="str">
        <f>IFERROR(INDEX('G-1 All Habitats'!$B$3:$B$134,MATCH(R72,'G-1 All Habitats'!$A$3:$A$134,0)),"")</f>
        <v/>
      </c>
      <c r="T72" s="362" t="str">
        <f t="shared" si="1"/>
        <v/>
      </c>
      <c r="U72" s="363" t="str">
        <f t="shared" si="2"/>
        <v/>
      </c>
      <c r="V72" s="398" t="str">
        <f t="shared" si="3"/>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0"/>
        <v/>
      </c>
      <c r="AE72" s="63"/>
      <c r="AF72" s="63"/>
      <c r="AG72" s="370" t="str">
        <f t="shared" si="4"/>
        <v/>
      </c>
      <c r="AH72" s="383" t="str">
        <f t="shared" si="5"/>
        <v/>
      </c>
      <c r="AI72" s="384" t="str">
        <f>IF(AH72="Check Data","Check Data",IFERROR(VLOOKUP(AH72,'G-4 Temporal multipliers'!$A$4:$C$36,3,FALSE),""))</f>
        <v/>
      </c>
      <c r="AJ72" s="362" t="str">
        <f>IF(S72="","",VLOOKUP(S72,'G-3 Multipliers'!$A$2:$E$134,4,FALSE))</f>
        <v/>
      </c>
      <c r="AK72" s="370" t="str">
        <f t="shared" si="6"/>
        <v/>
      </c>
      <c r="AL72" s="370" t="str">
        <f t="shared" si="7"/>
        <v/>
      </c>
      <c r="AM72" s="401" t="str">
        <f>IFERROR(IF(F72="","",IF(AH72="Check Data ⚠","Check Data ⚠",VLOOKUP(AL72, 'G-3 Multipliers'!$P$2:$Q$6,2,FALSE))),"")</f>
        <v/>
      </c>
      <c r="AN72" s="376" t="str">
        <f t="shared" si="8"/>
        <v/>
      </c>
      <c r="AO72" s="194"/>
      <c r="AP72" s="195"/>
      <c r="AQ72" s="120"/>
    </row>
    <row r="73" spans="1:43" x14ac:dyDescent="0.2">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9"/>
        <v/>
      </c>
      <c r="R73" s="193" t="str">
        <f t="shared" si="10"/>
        <v/>
      </c>
      <c r="S73" s="306" t="str">
        <f>IFERROR(INDEX('G-1 All Habitats'!$B$3:$B$134,MATCH(R73,'G-1 All Habitats'!$A$3:$A$134,0)),"")</f>
        <v/>
      </c>
      <c r="T73" s="362" t="str">
        <f t="shared" si="1"/>
        <v/>
      </c>
      <c r="U73" s="363" t="str">
        <f t="shared" si="2"/>
        <v/>
      </c>
      <c r="V73" s="398" t="str">
        <f t="shared" si="3"/>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0"/>
        <v/>
      </c>
      <c r="AE73" s="63"/>
      <c r="AF73" s="63"/>
      <c r="AG73" s="370" t="str">
        <f t="shared" si="4"/>
        <v/>
      </c>
      <c r="AH73" s="383" t="str">
        <f t="shared" si="5"/>
        <v/>
      </c>
      <c r="AI73" s="384" t="str">
        <f>IF(AH73="Check Data","Check Data",IFERROR(VLOOKUP(AH73,'G-4 Temporal multipliers'!$A$4:$C$36,3,FALSE),""))</f>
        <v/>
      </c>
      <c r="AJ73" s="362" t="str">
        <f>IF(S73="","",VLOOKUP(S73,'G-3 Multipliers'!$A$2:$E$134,4,FALSE))</f>
        <v/>
      </c>
      <c r="AK73" s="370" t="str">
        <f t="shared" si="6"/>
        <v/>
      </c>
      <c r="AL73" s="370" t="str">
        <f t="shared" si="7"/>
        <v/>
      </c>
      <c r="AM73" s="401" t="str">
        <f>IFERROR(IF(F73="","",IF(AH73="Check Data ⚠","Check Data ⚠",VLOOKUP(AL73, 'G-3 Multipliers'!$P$2:$Q$6,2,FALSE))),"")</f>
        <v/>
      </c>
      <c r="AN73" s="376" t="str">
        <f t="shared" si="8"/>
        <v/>
      </c>
      <c r="AO73" s="194"/>
      <c r="AP73" s="195"/>
      <c r="AQ73" s="120"/>
    </row>
    <row r="74" spans="1:43" x14ac:dyDescent="0.2">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9"/>
        <v/>
      </c>
      <c r="R74" s="193" t="str">
        <f t="shared" si="10"/>
        <v/>
      </c>
      <c r="S74" s="306" t="str">
        <f>IFERROR(INDEX('G-1 All Habitats'!$B$3:$B$134,MATCH(R74,'G-1 All Habitats'!$A$3:$A$134,0)),"")</f>
        <v/>
      </c>
      <c r="T74" s="362" t="str">
        <f t="shared" si="1"/>
        <v/>
      </c>
      <c r="U74" s="363" t="str">
        <f t="shared" si="2"/>
        <v/>
      </c>
      <c r="V74" s="398" t="str">
        <f t="shared" si="3"/>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0"/>
        <v/>
      </c>
      <c r="AE74" s="63"/>
      <c r="AF74" s="63"/>
      <c r="AG74" s="370" t="str">
        <f t="shared" si="4"/>
        <v/>
      </c>
      <c r="AH74" s="383" t="str">
        <f t="shared" si="5"/>
        <v/>
      </c>
      <c r="AI74" s="384" t="str">
        <f>IF(AH74="Check Data","Check Data",IFERROR(VLOOKUP(AH74,'G-4 Temporal multipliers'!$A$4:$C$36,3,FALSE),""))</f>
        <v/>
      </c>
      <c r="AJ74" s="362" t="str">
        <f>IF(S74="","",VLOOKUP(S74,'G-3 Multipliers'!$A$2:$E$134,4,FALSE))</f>
        <v/>
      </c>
      <c r="AK74" s="370" t="str">
        <f t="shared" si="6"/>
        <v/>
      </c>
      <c r="AL74" s="370" t="str">
        <f t="shared" si="7"/>
        <v/>
      </c>
      <c r="AM74" s="401" t="str">
        <f>IFERROR(IF(F74="","",IF(AH74="Check Data ⚠","Check Data ⚠",VLOOKUP(AL74, 'G-3 Multipliers'!$P$2:$Q$6,2,FALSE))),"")</f>
        <v/>
      </c>
      <c r="AN74" s="376" t="str">
        <f t="shared" si="8"/>
        <v/>
      </c>
      <c r="AO74" s="194"/>
      <c r="AP74" s="195"/>
      <c r="AQ74" s="120"/>
    </row>
    <row r="75" spans="1:43" x14ac:dyDescent="0.2">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9"/>
        <v/>
      </c>
      <c r="R75" s="193" t="str">
        <f t="shared" si="10"/>
        <v/>
      </c>
      <c r="S75" s="306" t="str">
        <f>IFERROR(INDEX('G-1 All Habitats'!$B$3:$B$134,MATCH(R75,'G-1 All Habitats'!$A$3:$A$134,0)),"")</f>
        <v/>
      </c>
      <c r="T75" s="362" t="str">
        <f t="shared" si="1"/>
        <v/>
      </c>
      <c r="U75" s="363" t="str">
        <f t="shared" si="2"/>
        <v/>
      </c>
      <c r="V75" s="398" t="str">
        <f t="shared" si="3"/>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0"/>
        <v/>
      </c>
      <c r="AE75" s="63"/>
      <c r="AF75" s="63"/>
      <c r="AG75" s="370" t="str">
        <f t="shared" si="4"/>
        <v/>
      </c>
      <c r="AH75" s="383" t="str">
        <f t="shared" si="5"/>
        <v/>
      </c>
      <c r="AI75" s="384" t="str">
        <f>IF(AH75="Check Data","Check Data",IFERROR(VLOOKUP(AH75,'G-4 Temporal multipliers'!$A$4:$C$36,3,FALSE),""))</f>
        <v/>
      </c>
      <c r="AJ75" s="362" t="str">
        <f>IF(S75="","",VLOOKUP(S75,'G-3 Multipliers'!$A$2:$E$134,4,FALSE))</f>
        <v/>
      </c>
      <c r="AK75" s="370" t="str">
        <f t="shared" si="6"/>
        <v/>
      </c>
      <c r="AL75" s="370" t="str">
        <f t="shared" si="7"/>
        <v/>
      </c>
      <c r="AM75" s="401" t="str">
        <f>IFERROR(IF(F75="","",IF(AH75="Check Data ⚠","Check Data ⚠",VLOOKUP(AL75, 'G-3 Multipliers'!$P$2:$Q$6,2,FALSE))),"")</f>
        <v/>
      </c>
      <c r="AN75" s="376" t="str">
        <f t="shared" si="8"/>
        <v/>
      </c>
      <c r="AO75" s="194"/>
      <c r="AP75" s="195"/>
      <c r="AQ75" s="120"/>
    </row>
    <row r="76" spans="1:43" x14ac:dyDescent="0.2">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9"/>
        <v/>
      </c>
      <c r="R76" s="193" t="str">
        <f t="shared" si="10"/>
        <v/>
      </c>
      <c r="S76" s="306" t="str">
        <f>IFERROR(INDEX('G-1 All Habitats'!$B$3:$B$134,MATCH(R76,'G-1 All Habitats'!$A$3:$A$134,0)),"")</f>
        <v/>
      </c>
      <c r="T76" s="362" t="str">
        <f t="shared" si="1"/>
        <v/>
      </c>
      <c r="U76" s="363" t="str">
        <f t="shared" si="2"/>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4"/>
        <v/>
      </c>
      <c r="AH76" s="383" t="str">
        <f t="shared" si="5"/>
        <v/>
      </c>
      <c r="AI76" s="384" t="str">
        <f>IF(AH76="Check Data","Check Data",IFERROR(VLOOKUP(AH76,'G-4 Temporal multipliers'!$A$4:$C$36,3,FALSE),""))</f>
        <v/>
      </c>
      <c r="AJ76" s="362" t="str">
        <f>IF(S76="","",VLOOKUP(S76,'G-3 Multipliers'!$A$2:$E$134,4,FALSE))</f>
        <v/>
      </c>
      <c r="AK76" s="370" t="str">
        <f t="shared" si="6"/>
        <v/>
      </c>
      <c r="AL76" s="370" t="str">
        <f t="shared" si="7"/>
        <v/>
      </c>
      <c r="AM76" s="401" t="str">
        <f>IFERROR(IF(F76="","",IF(AH76="Check Data ⚠","Check Data ⚠",VLOOKUP(AL76, 'G-3 Multipliers'!$P$2:$Q$6,2,FALSE))),"")</f>
        <v/>
      </c>
      <c r="AN76" s="376" t="str">
        <f t="shared" si="8"/>
        <v/>
      </c>
      <c r="AO76" s="194"/>
      <c r="AP76" s="195"/>
      <c r="AQ76" s="120"/>
    </row>
    <row r="77" spans="1:43" x14ac:dyDescent="0.2">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x14ac:dyDescent="0.2">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x14ac:dyDescent="0.2">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x14ac:dyDescent="0.2">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x14ac:dyDescent="0.2">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x14ac:dyDescent="0.2">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x14ac:dyDescent="0.2">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x14ac:dyDescent="0.2">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x14ac:dyDescent="0.2">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x14ac:dyDescent="0.2">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x14ac:dyDescent="0.2">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x14ac:dyDescent="0.2">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x14ac:dyDescent="0.2">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x14ac:dyDescent="0.2">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x14ac:dyDescent="0.2">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x14ac:dyDescent="0.2">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x14ac:dyDescent="0.2">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x14ac:dyDescent="0.2">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x14ac:dyDescent="0.2">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x14ac:dyDescent="0.2">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x14ac:dyDescent="0.2">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x14ac:dyDescent="0.2">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x14ac:dyDescent="0.2">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x14ac:dyDescent="0.2">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x14ac:dyDescent="0.2">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x14ac:dyDescent="0.2">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x14ac:dyDescent="0.2">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x14ac:dyDescent="0.2">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x14ac:dyDescent="0.2">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x14ac:dyDescent="0.2">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x14ac:dyDescent="0.2">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x14ac:dyDescent="0.2">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x14ac:dyDescent="0.2">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x14ac:dyDescent="0.2">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x14ac:dyDescent="0.2">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x14ac:dyDescent="0.2">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x14ac:dyDescent="0.2">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x14ac:dyDescent="0.2">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x14ac:dyDescent="0.2">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x14ac:dyDescent="0.2">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x14ac:dyDescent="0.2">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x14ac:dyDescent="0.2">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x14ac:dyDescent="0.2">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x14ac:dyDescent="0.2">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x14ac:dyDescent="0.2">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x14ac:dyDescent="0.2">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x14ac:dyDescent="0.2">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x14ac:dyDescent="0.2">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x14ac:dyDescent="0.2">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x14ac:dyDescent="0.2">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x14ac:dyDescent="0.2">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x14ac:dyDescent="0.2">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x14ac:dyDescent="0.2">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x14ac:dyDescent="0.2">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x14ac:dyDescent="0.2">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x14ac:dyDescent="0.2">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x14ac:dyDescent="0.2">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x14ac:dyDescent="0.2">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x14ac:dyDescent="0.2">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x14ac:dyDescent="0.2">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x14ac:dyDescent="0.2">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x14ac:dyDescent="0.2">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x14ac:dyDescent="0.2">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x14ac:dyDescent="0.2">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x14ac:dyDescent="0.2">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x14ac:dyDescent="0.2">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x14ac:dyDescent="0.2">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x14ac:dyDescent="0.2">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x14ac:dyDescent="0.2">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x14ac:dyDescent="0.2">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x14ac:dyDescent="0.2">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x14ac:dyDescent="0.2">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x14ac:dyDescent="0.2">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x14ac:dyDescent="0.2">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x14ac:dyDescent="0.2">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x14ac:dyDescent="0.2">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x14ac:dyDescent="0.2">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x14ac:dyDescent="0.2">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x14ac:dyDescent="0.2">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x14ac:dyDescent="0.2">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x14ac:dyDescent="0.2">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x14ac:dyDescent="0.2">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x14ac:dyDescent="0.2">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x14ac:dyDescent="0.2">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x14ac:dyDescent="0.2">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x14ac:dyDescent="0.2">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x14ac:dyDescent="0.2">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x14ac:dyDescent="0.2">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x14ac:dyDescent="0.2">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x14ac:dyDescent="0.2">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x14ac:dyDescent="0.2">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x14ac:dyDescent="0.2">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x14ac:dyDescent="0.2">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x14ac:dyDescent="0.2">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x14ac:dyDescent="0.2">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x14ac:dyDescent="0.2">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x14ac:dyDescent="0.2">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x14ac:dyDescent="0.2">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x14ac:dyDescent="0.2">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x14ac:dyDescent="0.2">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x14ac:dyDescent="0.2">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x14ac:dyDescent="0.2">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x14ac:dyDescent="0.2">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x14ac:dyDescent="0.2">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x14ac:dyDescent="0.2">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x14ac:dyDescent="0.2">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x14ac:dyDescent="0.2">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x14ac:dyDescent="0.2">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x14ac:dyDescent="0.2">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x14ac:dyDescent="0.2">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x14ac:dyDescent="0.2">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x14ac:dyDescent="0.2">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x14ac:dyDescent="0.2">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x14ac:dyDescent="0.2">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x14ac:dyDescent="0.2">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x14ac:dyDescent="0.2">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x14ac:dyDescent="0.2">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x14ac:dyDescent="0.2">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x14ac:dyDescent="0.2">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x14ac:dyDescent="0.2">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x14ac:dyDescent="0.2">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x14ac:dyDescent="0.2">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x14ac:dyDescent="0.2">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x14ac:dyDescent="0.2">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x14ac:dyDescent="0.2">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x14ac:dyDescent="0.2">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x14ac:dyDescent="0.2">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x14ac:dyDescent="0.2">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x14ac:dyDescent="0.2">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x14ac:dyDescent="0.2">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x14ac:dyDescent="0.2">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x14ac:dyDescent="0.2">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x14ac:dyDescent="0.2">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x14ac:dyDescent="0.2">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x14ac:dyDescent="0.2">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x14ac:dyDescent="0.2">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x14ac:dyDescent="0.2">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x14ac:dyDescent="0.2">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x14ac:dyDescent="0.2">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x14ac:dyDescent="0.2">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x14ac:dyDescent="0.2">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x14ac:dyDescent="0.2">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x14ac:dyDescent="0.2">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x14ac:dyDescent="0.2">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x14ac:dyDescent="0.2">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x14ac:dyDescent="0.2">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x14ac:dyDescent="0.2">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x14ac:dyDescent="0.2">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x14ac:dyDescent="0.2">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x14ac:dyDescent="0.2">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x14ac:dyDescent="0.2">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x14ac:dyDescent="0.2">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x14ac:dyDescent="0.2">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x14ac:dyDescent="0.2">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x14ac:dyDescent="0.2">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x14ac:dyDescent="0.2">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x14ac:dyDescent="0.2">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x14ac:dyDescent="0.2">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x14ac:dyDescent="0.2">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x14ac:dyDescent="0.2">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x14ac:dyDescent="0.2">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x14ac:dyDescent="0.2">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x14ac:dyDescent="0.2">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x14ac:dyDescent="0.2">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x14ac:dyDescent="0.2">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x14ac:dyDescent="0.2">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x14ac:dyDescent="0.2">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x14ac:dyDescent="0.2">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x14ac:dyDescent="0.2">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x14ac:dyDescent="0.2">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x14ac:dyDescent="0.2">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x14ac:dyDescent="0.2">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x14ac:dyDescent="0.2">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x14ac:dyDescent="0.2">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x14ac:dyDescent="0.2">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x14ac:dyDescent="0.2">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x14ac:dyDescent="0.2">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x14ac:dyDescent="0.2">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x14ac:dyDescent="0.2">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x14ac:dyDescent="0.2">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 thickBot="1" x14ac:dyDescent="0.25">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 thickBot="1" x14ac:dyDescent="0.25">
      <c r="E258" s="324"/>
      <c r="F258" s="324"/>
      <c r="G258" s="324"/>
      <c r="H258" s="324"/>
      <c r="I258" s="324"/>
      <c r="J258" s="324"/>
      <c r="K258" s="324"/>
      <c r="L258" s="324"/>
      <c r="M258" s="324"/>
      <c r="N258" s="324"/>
      <c r="O258" s="324"/>
      <c r="P258" s="324"/>
      <c r="Q258" s="324"/>
      <c r="R258" s="324"/>
      <c r="S258" s="324"/>
      <c r="T258" s="324"/>
      <c r="U258" s="890" t="s">
        <v>330</v>
      </c>
      <c r="V258" s="366">
        <f>SUM(V12:V257)</f>
        <v>21.031845810189665</v>
      </c>
      <c r="W258" s="324"/>
      <c r="X258" s="324"/>
      <c r="Y258" s="324"/>
      <c r="Z258" s="324"/>
      <c r="AA258" s="324"/>
      <c r="AB258" s="324"/>
      <c r="AC258" s="324"/>
      <c r="AD258" s="324"/>
      <c r="AE258" s="324"/>
      <c r="AF258" s="324"/>
      <c r="AG258" s="324"/>
      <c r="AH258" s="324"/>
      <c r="AI258" s="324"/>
      <c r="AJ258" s="324"/>
      <c r="AK258" s="324"/>
      <c r="AL258" s="324"/>
      <c r="AM258" s="223"/>
      <c r="AN258" s="366">
        <f ca="1">(SUM(AN12:AN257))</f>
        <v>112.73702634721323</v>
      </c>
      <c r="AO258" s="324"/>
      <c r="AP258" s="324"/>
    </row>
    <row r="259" spans="1:43" ht="18" x14ac:dyDescent="0.25">
      <c r="V259" s="1483" t="str">
        <f>IF(V258&lt;&gt;'A-1 On-Site Habitat Baseline'!T259,"Error - Area of habitat enhancement must match the area from sheet A1 ▲","")</f>
        <v/>
      </c>
      <c r="W259" s="1483"/>
      <c r="X259" s="1483"/>
      <c r="Y259" s="1483"/>
      <c r="Z259" s="1483"/>
      <c r="AA259" s="1483"/>
    </row>
    <row r="260" spans="1:43" x14ac:dyDescent="0.2"/>
    <row r="261" spans="1:43" x14ac:dyDescent="0.2"/>
    <row r="262" spans="1:43" x14ac:dyDescent="0.2"/>
    <row r="263" spans="1:43" x14ac:dyDescent="0.2"/>
    <row r="264" spans="1:43" x14ac:dyDescent="0.2"/>
    <row r="265" spans="1:43" x14ac:dyDescent="0.2"/>
    <row r="266" spans="1:43" x14ac:dyDescent="0.2"/>
  </sheetData>
  <sheetProtection algorithmName="SHA-512" hashValue="4E3ZoBy4BOFA7htXb31PVST7sf96tCfeF3MilJs2TYWz5hbySY9KWwG8iOegvReChQhl9kHJuQIIPWmGSl7O0Q==" saltValue="0oKxJX+5qzF2aJEVZLAy0w=="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O12:O257">
    <cfRule type="beginsWith" dxfId="465" priority="24" operator="beginsWith" text="Same Habitat">
      <formula>LEFT(O12,LEN("Same Habitat"))="Same Habitat"</formula>
    </cfRule>
    <cfRule type="beginsWith" dxfId="464" priority="21" operator="beginsWith" text="Bespoke">
      <formula>LEFT(O12,LEN("Bespoke"))="Bespoke"</formula>
    </cfRule>
    <cfRule type="beginsWith" dxfId="463" priority="22" operator="beginsWith" text="Same distinctiveness">
      <formula>LEFT(O12,LEN("Same distinctiveness"))="Same distinctiveness"</formula>
    </cfRule>
    <cfRule type="beginsWith" dxfId="462" priority="23" operator="beginsWith" text="Same broad">
      <formula>LEFT(O12,LEN("Same broad"))="Same broad"</formula>
    </cfRule>
  </conditionalFormatting>
  <conditionalFormatting sqref="R6:T8">
    <cfRule type="containsText" dxfId="461" priority="8" operator="containsText" text="⚠">
      <formula>NOT(ISERROR(SEARCH("⚠",R6)))</formula>
    </cfRule>
  </conditionalFormatting>
  <conditionalFormatting sqref="T3">
    <cfRule type="containsText" dxfId="460" priority="6" operator="containsText" text="Check">
      <formula>NOT(ISERROR(SEARCH("Check",T3)))</formula>
    </cfRule>
    <cfRule type="containsText" dxfId="459" priority="7" operator="containsText" text="Error">
      <formula>NOT(ISERROR(SEARCH("Error",T3)))</formula>
    </cfRule>
  </conditionalFormatting>
  <conditionalFormatting sqref="T4">
    <cfRule type="containsText" dxfId="458" priority="3" operator="containsText" text="Error">
      <formula>NOT(ISERROR(SEARCH("Error",T4)))</formula>
    </cfRule>
    <cfRule type="containsText" dxfId="457" priority="5" operator="containsText" text="Check">
      <formula>NOT(ISERROR(SEARCH("Check",T4)))</formula>
    </cfRule>
    <cfRule type="cellIs" dxfId="456" priority="16" operator="lessThan">
      <formula>0</formula>
    </cfRule>
  </conditionalFormatting>
  <conditionalFormatting sqref="T5">
    <cfRule type="containsText" dxfId="454" priority="10" operator="containsText" text="No">
      <formula>NOT(ISERROR(SEARCH("No",T5)))</formula>
    </cfRule>
    <cfRule type="containsText" dxfId="453" priority="11" operator="containsText" text="Yes">
      <formula>NOT(ISERROR(SEARCH("Yes",T5)))</formula>
    </cfRule>
  </conditionalFormatting>
  <conditionalFormatting sqref="T12:T257">
    <cfRule type="containsText" dxfId="452" priority="37" operator="containsText" text="Error">
      <formula>NOT(ISERROR(SEARCH("Error",T12)))</formula>
    </cfRule>
  </conditionalFormatting>
  <conditionalFormatting sqref="T4:U4">
    <cfRule type="cellIs" dxfId="450" priority="15" operator="equal">
      <formula>0</formula>
    </cfRule>
  </conditionalFormatting>
  <conditionalFormatting sqref="U12:U257">
    <cfRule type="containsText" dxfId="449" priority="36" operator="containsText" text="Error">
      <formula>NOT(ISERROR(SEARCH("Error",U12)))</formula>
    </cfRule>
  </conditionalFormatting>
  <conditionalFormatting sqref="U258">
    <cfRule type="containsText" dxfId="448" priority="2" operator="containsText" text="Check">
      <formula>NOT(ISERROR(SEARCH("Check",U258)))</formula>
    </cfRule>
    <cfRule type="containsText" dxfId="447" priority="1" operator="containsText" text="Error">
      <formula>NOT(ISERROR(SEARCH("Error",U258)))</formula>
    </cfRule>
  </conditionalFormatting>
  <conditionalFormatting sqref="V2:AA5">
    <cfRule type="containsText" dxfId="446" priority="9" operator="containsText" text="Check">
      <formula>NOT(ISERROR(SEARCH("Check",V2)))</formula>
    </cfRule>
  </conditionalFormatting>
  <conditionalFormatting sqref="V259:AA259">
    <cfRule type="containsText" dxfId="445" priority="20" operator="containsText" text="Error">
      <formula>NOT(ISERROR(SEARCH("Error",V259)))</formula>
    </cfRule>
  </conditionalFormatting>
  <conditionalFormatting sqref="Z12:Z257">
    <cfRule type="cellIs" dxfId="444" priority="50" operator="equal">
      <formula>"Not Possible"</formula>
    </cfRule>
  </conditionalFormatting>
  <conditionalFormatting sqref="AB12:AC257">
    <cfRule type="containsText" dxfId="443" priority="34" operator="containsText" text="Spatial">
      <formula>NOT(ISERROR(SEARCH("Spatial",AB12)))</formula>
    </cfRule>
  </conditionalFormatting>
  <conditionalFormatting sqref="AD2">
    <cfRule type="containsText" dxfId="442" priority="38" operator="containsText" text="Note">
      <formula>NOT(ISERROR(SEARCH("Note",AD2)))</formula>
    </cfRule>
  </conditionalFormatting>
  <conditionalFormatting sqref="AD5">
    <cfRule type="containsText" dxfId="441" priority="19" operator="containsText" text="Change">
      <formula>NOT(ISERROR(SEARCH("Change",AD5)))</formula>
    </cfRule>
  </conditionalFormatting>
  <conditionalFormatting sqref="AD12:AD257">
    <cfRule type="containsText" dxfId="440" priority="33" operator="containsText" text="Check Data">
      <formula>NOT(ISERROR(SEARCH("Check Data",AD12)))</formula>
    </cfRule>
  </conditionalFormatting>
  <conditionalFormatting sqref="AG12:AG257">
    <cfRule type="containsText" dxfId="439" priority="31" operator="containsText" text="Error">
      <formula>NOT(ISERROR(SEARCH("Error",AG12)))</formula>
    </cfRule>
    <cfRule type="containsText" dxfId="438" priority="32" operator="containsText" text="Check">
      <formula>NOT(ISERROR(SEARCH("Check",AG12)))</formula>
    </cfRule>
  </conditionalFormatting>
  <conditionalFormatting sqref="AH12:AH257">
    <cfRule type="containsText" dxfId="437" priority="29" operator="containsText" text="Check Data ⚠">
      <formula>NOT(ISERROR(SEARCH("Check Data ⚠",AH12)))</formula>
    </cfRule>
    <cfRule type="containsText" dxfId="436" priority="30" operator="containsText" text="Error ▲">
      <formula>NOT(ISERROR(SEARCH("Error ▲",AH12)))</formula>
    </cfRule>
  </conditionalFormatting>
  <conditionalFormatting sqref="AI12:AI257">
    <cfRule type="containsText" dxfId="435" priority="27" operator="containsText" text="Check Data ⚠">
      <formula>NOT(ISERROR(SEARCH("Check Data ⚠",AI12)))</formula>
    </cfRule>
  </conditionalFormatting>
  <conditionalFormatting sqref="AK12:AK257">
    <cfRule type="containsText" dxfId="434" priority="26"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433" priority="25" operator="containsText" text="Check Data ⚠">
      <formula>NOT(ISERROR(SEARCH("Check Data ⚠",AM12)))</formula>
    </cfRule>
  </conditionalFormatting>
  <conditionalFormatting sqref="AN12:AN257">
    <cfRule type="containsText" dxfId="432" priority="41" operator="containsText" text="Existing Value Not Required">
      <formula>NOT(ISERROR(SEARCH("Existing Value Not Required",AN12)))</formula>
    </cfRule>
    <cfRule type="containsText" dxfId="431" priority="42" operator="containsText" text="Existing Value Required">
      <formula>NOT(ISERROR(SEARCH("Existing Value Required",AN12)))</formula>
    </cfRule>
  </conditionalFormatting>
  <conditionalFormatting sqref="AN256:AN257">
    <cfRule type="containsText" dxfId="430" priority="39" operator="containsText" text="Existing Value Not Required">
      <formula>NOT(ISERROR(SEARCH("Existing Value Not Required",AN256)))</formula>
    </cfRule>
    <cfRule type="containsText" dxfId="429" priority="40" operator="containsText" text="Existing Value Required">
      <formula>NOT(ISERROR(SEARCH("Existing Value Required",AN256)))</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6"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7" operator="lessThan" id="{2FC45805-93F2-4CD8-83E0-7459FAA8F9BB}">
            <xm:f>Start!$F$22</xm:f>
            <x14:dxf>
              <font>
                <color rgb="FF383745"/>
              </font>
              <fill>
                <patternFill>
                  <bgColor rgb="FFFFC000"/>
                </patternFill>
              </fill>
            </x14:dxf>
          </x14:cfRule>
          <xm:sqref>T4:U4</xm:sqref>
        </x14:conditionalFormatting>
        <x14:conditionalFormatting xmlns:xm="http://schemas.microsoft.com/office/excel/2006/main">
          <x14:cfRule type="iconSet" priority="28"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4.25" zeroHeight="1" x14ac:dyDescent="0.2"/>
  <cols>
    <col min="1" max="1" width="17.85546875" style="30" hidden="1" customWidth="1"/>
    <col min="2" max="2" width="14.85546875" style="30" hidden="1" customWidth="1"/>
    <col min="3" max="3" width="20.5703125" style="30" hidden="1" customWidth="1"/>
    <col min="4" max="4" width="10.42578125" style="30" customWidth="1"/>
    <col min="5" max="5" width="22.140625" style="30" customWidth="1"/>
    <col min="6" max="6" width="70.140625" style="30" customWidth="1"/>
    <col min="7" max="7" width="19.85546875" style="30" hidden="1" customWidth="1"/>
    <col min="8" max="8" width="19.5703125" style="33" customWidth="1"/>
    <col min="9" max="9" width="17.7109375" style="30" customWidth="1"/>
    <col min="10" max="10" width="8.85546875" style="30" customWidth="1"/>
    <col min="11" max="11" width="14.28515625" style="33" customWidth="1"/>
    <col min="12" max="12" width="9.5703125" style="30" customWidth="1"/>
    <col min="13" max="13" width="41.7109375" style="30" customWidth="1"/>
    <col min="14" max="14" width="12.85546875" style="30" customWidth="1"/>
    <col min="15" max="15" width="14.85546875" style="33" customWidth="1"/>
    <col min="16" max="16" width="32.85546875" style="33" customWidth="1"/>
    <col min="17" max="17" width="8.7109375" style="30" hidden="1" customWidth="1"/>
    <col min="18" max="18" width="82.7109375" style="33" customWidth="1"/>
    <col min="19" max="19" width="7.85546875" style="30" hidden="1" customWidth="1"/>
    <col min="20" max="20" width="17.140625" style="33" customWidth="1"/>
    <col min="21" max="21" width="3.7109375" style="30" customWidth="1"/>
    <col min="22" max="22" width="11.5703125" style="33" customWidth="1"/>
    <col min="23" max="23" width="12.140625" style="33" customWidth="1"/>
    <col min="24" max="24" width="10.140625" style="33" customWidth="1"/>
    <col min="25" max="25" width="13" style="33" customWidth="1"/>
    <col min="26" max="26" width="13.140625" style="33" customWidth="1"/>
    <col min="27" max="27" width="15.5703125" style="33" customWidth="1"/>
    <col min="28" max="28" width="16.85546875" style="30" customWidth="1"/>
    <col min="29" max="30" width="50.140625" style="30" customWidth="1"/>
    <col min="31" max="31" width="14.28515625" style="30" customWidth="1"/>
    <col min="32" max="32" width="17.140625" style="30" customWidth="1"/>
    <col min="33" max="33" width="11.140625" style="11" hidden="1" customWidth="1"/>
    <col min="34" max="34" width="8.7109375" style="11" hidden="1" customWidth="1"/>
    <col min="35" max="50" width="8.7109375" style="30" hidden="1" customWidth="1"/>
    <col min="51" max="51" width="10.140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x14ac:dyDescent="0.25"/>
    <row r="2" spans="1:51 16381:16384" ht="19.5" customHeight="1" thickBot="1" x14ac:dyDescent="0.3">
      <c r="D2" s="1516" t="str">
        <f>CONCATENATE("Project Name:", " ", Start!F12, "     ", "Map Reference:", " ", Start!F66)</f>
        <v xml:space="preserve">Project Name: Botley West Solar Farm     Map Reference: </v>
      </c>
      <c r="E2" s="1517"/>
      <c r="F2" s="1518"/>
      <c r="I2" s="1401" t="s">
        <v>263</v>
      </c>
      <c r="J2" s="1402"/>
      <c r="K2" s="1402"/>
      <c r="L2" s="1402"/>
      <c r="M2" s="1403"/>
      <c r="O2" s="1515" t="str" cm="1">
        <f t="array" ref="O2">IF(OR(K11:K258 = "Fairly Good", K11:K258 = "Fairly Poor"),"A 'Fairly' Category has been used - check evidence to ensure this is appropriate ⚠", "")</f>
        <v/>
      </c>
      <c r="P2" s="1515"/>
      <c r="Q2" s="1515"/>
      <c r="R2" s="1515"/>
      <c r="S2" s="1515"/>
      <c r="T2" s="1515"/>
      <c r="U2" s="1515"/>
      <c r="V2" s="1515"/>
      <c r="W2" s="1515"/>
      <c r="X2" s="1515"/>
      <c r="Y2" s="1515"/>
      <c r="AY2" s="30"/>
    </row>
    <row r="3" spans="1:51 16381:16384" ht="15" customHeight="1" x14ac:dyDescent="0.2">
      <c r="D3" s="1509" t="str">
        <f ca="1">MID(CELL("filename",C1),FIND("]",CELL("filename",C1))+1,256)</f>
        <v>D-1 Off-Site Habitat Baseline</v>
      </c>
      <c r="E3" s="1510"/>
      <c r="F3" s="1511"/>
      <c r="I3" s="1491" t="s">
        <v>264</v>
      </c>
      <c r="J3" s="1493"/>
      <c r="K3" s="1493"/>
      <c r="L3" s="1519"/>
      <c r="M3" s="512">
        <f ca="1">'Headline Results'!H47</f>
        <v>2079.2936185042022</v>
      </c>
      <c r="O3" s="1515"/>
      <c r="P3" s="1515"/>
      <c r="Q3" s="1515"/>
      <c r="R3" s="1515"/>
      <c r="S3" s="1515"/>
      <c r="T3" s="1515"/>
      <c r="U3" s="1515"/>
      <c r="V3" s="1515"/>
      <c r="W3" s="1515"/>
      <c r="X3" s="1515"/>
      <c r="Y3" s="1515"/>
      <c r="AY3" s="30"/>
    </row>
    <row r="4" spans="1:51 16381:16384" ht="19.899999999999999" customHeight="1" thickBot="1" x14ac:dyDescent="0.25">
      <c r="D4" s="1512"/>
      <c r="E4" s="1513"/>
      <c r="F4" s="1514"/>
      <c r="I4" s="1520" t="s">
        <v>266</v>
      </c>
      <c r="J4" s="1521"/>
      <c r="K4" s="1521"/>
      <c r="L4" s="1522"/>
      <c r="M4" s="513">
        <f ca="1">'Headline Results'!H51</f>
        <v>0.81283399226151964</v>
      </c>
      <c r="O4" s="1515"/>
      <c r="P4" s="1515"/>
      <c r="Q4" s="1515"/>
      <c r="R4" s="1515"/>
      <c r="S4" s="1515"/>
      <c r="T4" s="1515"/>
      <c r="U4" s="1515"/>
      <c r="V4" s="1515"/>
      <c r="W4" s="1515"/>
      <c r="X4" s="1515"/>
      <c r="Y4" s="1515"/>
      <c r="AY4" s="30"/>
    </row>
    <row r="5" spans="1:51 16381:16384" ht="24" customHeight="1" thickBot="1" x14ac:dyDescent="0.25">
      <c r="I5" s="1523" t="s">
        <v>268</v>
      </c>
      <c r="J5" s="1524"/>
      <c r="K5" s="1524"/>
      <c r="L5" s="1525"/>
      <c r="M5" s="504" t="str" cm="1">
        <f t="array" aca="1" ref="M5" ca="1">IF(OR('Trading Summary Area Habitats'!G5:G8="No ▲"), "No - check trading summaries ▲", "Yes ✓")</f>
        <v>Yes ✓</v>
      </c>
      <c r="O5" s="1515"/>
      <c r="P5" s="1515"/>
      <c r="Q5" s="1515"/>
      <c r="R5" s="1515"/>
      <c r="S5" s="1515"/>
      <c r="T5" s="1515"/>
      <c r="U5" s="1515"/>
      <c r="V5" s="1515"/>
      <c r="W5" s="1515"/>
      <c r="X5" s="1515"/>
      <c r="Y5" s="1515"/>
      <c r="AY5" s="30"/>
    </row>
    <row r="6" spans="1:51 16381:16384" ht="15.75" customHeight="1" x14ac:dyDescent="0.2">
      <c r="I6" s="1526" t="str" cm="1">
        <f t="array" ref="I6">IF(OR(E11:E258="watercourse footprint"),"Please ensure the watercourse details for any watercourse footprints recorded are included in the watercourse tabs ⚠", "")</f>
        <v/>
      </c>
      <c r="J6" s="1526"/>
      <c r="K6" s="1526"/>
      <c r="L6" s="1526"/>
      <c r="M6" s="1526"/>
    </row>
    <row r="7" spans="1:51 16381:16384" ht="16.149999999999999" customHeight="1" x14ac:dyDescent="0.2">
      <c r="D7" s="102"/>
      <c r="E7" s="102"/>
      <c r="F7" s="102"/>
      <c r="I7" s="1527"/>
      <c r="J7" s="1527"/>
      <c r="K7" s="1527"/>
      <c r="L7" s="1527"/>
      <c r="M7" s="1527"/>
    </row>
    <row r="8" spans="1:51 16381:16384" ht="22.9" customHeight="1" thickBot="1" x14ac:dyDescent="0.25">
      <c r="D8" s="102"/>
      <c r="E8" s="102"/>
      <c r="F8" s="102"/>
      <c r="I8" s="1528"/>
      <c r="J8" s="1528"/>
      <c r="K8" s="1528"/>
      <c r="L8" s="1528"/>
      <c r="M8" s="1528"/>
    </row>
    <row r="9" spans="1:51 16381:16384" s="30" customFormat="1" ht="30" customHeight="1" thickBot="1" x14ac:dyDescent="0.25">
      <c r="D9" s="200"/>
      <c r="E9" s="1531" t="s">
        <v>269</v>
      </c>
      <c r="F9" s="1531"/>
      <c r="G9" s="1531"/>
      <c r="H9" s="1531"/>
      <c r="I9" s="1531" t="s">
        <v>270</v>
      </c>
      <c r="J9" s="1531"/>
      <c r="K9" s="1531" t="s">
        <v>358</v>
      </c>
      <c r="L9" s="1531"/>
      <c r="M9" s="1531" t="s">
        <v>272</v>
      </c>
      <c r="N9" s="1531"/>
      <c r="O9" s="1531"/>
      <c r="P9" s="1531" t="s">
        <v>273</v>
      </c>
      <c r="Q9" s="720" t="s">
        <v>274</v>
      </c>
      <c r="R9" s="1532" t="s">
        <v>359</v>
      </c>
      <c r="S9" s="1533"/>
      <c r="T9" s="719" t="s">
        <v>274</v>
      </c>
      <c r="U9" s="107"/>
      <c r="V9" s="1531" t="s">
        <v>275</v>
      </c>
      <c r="W9" s="1531"/>
      <c r="X9" s="1531"/>
      <c r="Y9" s="1531"/>
      <c r="Z9" s="1531"/>
      <c r="AA9" s="1531"/>
      <c r="AB9" s="1531" t="s">
        <v>276</v>
      </c>
      <c r="AC9" s="1529" t="s">
        <v>277</v>
      </c>
      <c r="AD9" s="1530"/>
      <c r="AG9" s="11" t="s">
        <v>267</v>
      </c>
      <c r="AH9" s="11" t="s">
        <v>267</v>
      </c>
      <c r="AJ9" s="124" t="s">
        <v>278</v>
      </c>
      <c r="AK9" s="124"/>
      <c r="AL9" s="124"/>
      <c r="AM9" s="124"/>
      <c r="AN9" s="124"/>
      <c r="AO9" s="124" t="s">
        <v>279</v>
      </c>
      <c r="AP9" s="124"/>
      <c r="AQ9" s="124"/>
      <c r="AR9" s="124"/>
      <c r="XFA9" s="542"/>
      <c r="XFB9" s="542"/>
      <c r="XFC9" s="542"/>
      <c r="XFD9" s="542"/>
    </row>
    <row r="10" spans="1:51 16381:16384" ht="57" customHeight="1" thickBot="1" x14ac:dyDescent="0.25">
      <c r="B10" s="101" t="s">
        <v>281</v>
      </c>
      <c r="D10" s="890" t="s">
        <v>340</v>
      </c>
      <c r="E10" s="720" t="s">
        <v>360</v>
      </c>
      <c r="F10" s="893" t="s">
        <v>33</v>
      </c>
      <c r="G10" s="833" t="s">
        <v>285</v>
      </c>
      <c r="H10" s="144" t="s">
        <v>286</v>
      </c>
      <c r="I10" s="834" t="s">
        <v>270</v>
      </c>
      <c r="J10" s="835" t="s">
        <v>287</v>
      </c>
      <c r="K10" s="140" t="s">
        <v>271</v>
      </c>
      <c r="L10" s="835" t="s">
        <v>287</v>
      </c>
      <c r="M10" s="834" t="s">
        <v>272</v>
      </c>
      <c r="N10" s="145" t="s">
        <v>272</v>
      </c>
      <c r="O10" s="144" t="s">
        <v>318</v>
      </c>
      <c r="P10" s="1534"/>
      <c r="Q10" s="747" t="s">
        <v>361</v>
      </c>
      <c r="R10" s="577" t="s">
        <v>362</v>
      </c>
      <c r="S10" s="821" t="s">
        <v>359</v>
      </c>
      <c r="T10" s="749" t="s">
        <v>289</v>
      </c>
      <c r="U10" s="107"/>
      <c r="V10" s="140" t="s">
        <v>290</v>
      </c>
      <c r="W10" s="145" t="s">
        <v>291</v>
      </c>
      <c r="X10" s="145" t="s">
        <v>292</v>
      </c>
      <c r="Y10" s="145" t="s">
        <v>293</v>
      </c>
      <c r="Z10" s="145" t="s">
        <v>363</v>
      </c>
      <c r="AA10" s="144" t="s">
        <v>295</v>
      </c>
      <c r="AB10" s="1534"/>
      <c r="AC10" s="140" t="s">
        <v>296</v>
      </c>
      <c r="AD10" s="145" t="s">
        <v>297</v>
      </c>
      <c r="AE10" s="43" t="s">
        <v>298</v>
      </c>
      <c r="AF10" s="42" t="s">
        <v>364</v>
      </c>
      <c r="AG10" s="743" t="s">
        <v>299</v>
      </c>
      <c r="AH10" s="743" t="s">
        <v>365</v>
      </c>
      <c r="AJ10" s="124" t="s">
        <v>301</v>
      </c>
      <c r="AK10" s="124" t="s">
        <v>302</v>
      </c>
      <c r="AL10" s="124" t="s">
        <v>303</v>
      </c>
      <c r="AM10" s="124" t="s">
        <v>304</v>
      </c>
      <c r="AN10" s="124"/>
      <c r="AO10" s="124" t="s">
        <v>301</v>
      </c>
      <c r="AP10" s="124" t="s">
        <v>302</v>
      </c>
      <c r="AQ10" s="124" t="s">
        <v>303</v>
      </c>
      <c r="AR10" s="124"/>
      <c r="AU10" s="30" t="s">
        <v>280</v>
      </c>
      <c r="AY10" s="145" t="s">
        <v>1676</v>
      </c>
    </row>
    <row r="11" spans="1:51 16381:16384" x14ac:dyDescent="0.2">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x14ac:dyDescent="0.2">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x14ac:dyDescent="0.2">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x14ac:dyDescent="0.2">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x14ac:dyDescent="0.2">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x14ac:dyDescent="0.2">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x14ac:dyDescent="0.2">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x14ac:dyDescent="0.2">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x14ac:dyDescent="0.2">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x14ac:dyDescent="0.2">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x14ac:dyDescent="0.2">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x14ac:dyDescent="0.2">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x14ac:dyDescent="0.2">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x14ac:dyDescent="0.2">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x14ac:dyDescent="0.2">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x14ac:dyDescent="0.2">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x14ac:dyDescent="0.2">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x14ac:dyDescent="0.2">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x14ac:dyDescent="0.2">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x14ac:dyDescent="0.2">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x14ac:dyDescent="0.2">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x14ac:dyDescent="0.2">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x14ac:dyDescent="0.2">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x14ac:dyDescent="0.2">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x14ac:dyDescent="0.2">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x14ac:dyDescent="0.2">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x14ac:dyDescent="0.2">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x14ac:dyDescent="0.2">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x14ac:dyDescent="0.2">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x14ac:dyDescent="0.2">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x14ac:dyDescent="0.2">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x14ac:dyDescent="0.2">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x14ac:dyDescent="0.2">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x14ac:dyDescent="0.2">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x14ac:dyDescent="0.2">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x14ac:dyDescent="0.2">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x14ac:dyDescent="0.2">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x14ac:dyDescent="0.2">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x14ac:dyDescent="0.2">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x14ac:dyDescent="0.2">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x14ac:dyDescent="0.2">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x14ac:dyDescent="0.2">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x14ac:dyDescent="0.2">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x14ac:dyDescent="0.2">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x14ac:dyDescent="0.2">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x14ac:dyDescent="0.2">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x14ac:dyDescent="0.2">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x14ac:dyDescent="0.2">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x14ac:dyDescent="0.2">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x14ac:dyDescent="0.2">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x14ac:dyDescent="0.2">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x14ac:dyDescent="0.2">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x14ac:dyDescent="0.2">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x14ac:dyDescent="0.2">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x14ac:dyDescent="0.2">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x14ac:dyDescent="0.2">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x14ac:dyDescent="0.2">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x14ac:dyDescent="0.2">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x14ac:dyDescent="0.2">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x14ac:dyDescent="0.2">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x14ac:dyDescent="0.2">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x14ac:dyDescent="0.2">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x14ac:dyDescent="0.2">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x14ac:dyDescent="0.2">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x14ac:dyDescent="0.2">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x14ac:dyDescent="0.2">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x14ac:dyDescent="0.2">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x14ac:dyDescent="0.2">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x14ac:dyDescent="0.2">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x14ac:dyDescent="0.2">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x14ac:dyDescent="0.2">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x14ac:dyDescent="0.2">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x14ac:dyDescent="0.2">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x14ac:dyDescent="0.2">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x14ac:dyDescent="0.2">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x14ac:dyDescent="0.2">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x14ac:dyDescent="0.2">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x14ac:dyDescent="0.2">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x14ac:dyDescent="0.2">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x14ac:dyDescent="0.2">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x14ac:dyDescent="0.2">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x14ac:dyDescent="0.2">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x14ac:dyDescent="0.2">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x14ac:dyDescent="0.2">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x14ac:dyDescent="0.2">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x14ac:dyDescent="0.2">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x14ac:dyDescent="0.2">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x14ac:dyDescent="0.2">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x14ac:dyDescent="0.2">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x14ac:dyDescent="0.2">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x14ac:dyDescent="0.2">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x14ac:dyDescent="0.2">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x14ac:dyDescent="0.2">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x14ac:dyDescent="0.2">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x14ac:dyDescent="0.2">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x14ac:dyDescent="0.2">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x14ac:dyDescent="0.2">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x14ac:dyDescent="0.2">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x14ac:dyDescent="0.2">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x14ac:dyDescent="0.2">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x14ac:dyDescent="0.2">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x14ac:dyDescent="0.2">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x14ac:dyDescent="0.2">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x14ac:dyDescent="0.2">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x14ac:dyDescent="0.2">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x14ac:dyDescent="0.2">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x14ac:dyDescent="0.2">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x14ac:dyDescent="0.2">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x14ac:dyDescent="0.2">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x14ac:dyDescent="0.2">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x14ac:dyDescent="0.2">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x14ac:dyDescent="0.2">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x14ac:dyDescent="0.2">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x14ac:dyDescent="0.2">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x14ac:dyDescent="0.2">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x14ac:dyDescent="0.2">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x14ac:dyDescent="0.2">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x14ac:dyDescent="0.2">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x14ac:dyDescent="0.2">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x14ac:dyDescent="0.2">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x14ac:dyDescent="0.2">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x14ac:dyDescent="0.2">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x14ac:dyDescent="0.2">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x14ac:dyDescent="0.2">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x14ac:dyDescent="0.2">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x14ac:dyDescent="0.2">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x14ac:dyDescent="0.2">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x14ac:dyDescent="0.2">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x14ac:dyDescent="0.2">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x14ac:dyDescent="0.2">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x14ac:dyDescent="0.2">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x14ac:dyDescent="0.2">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x14ac:dyDescent="0.2">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x14ac:dyDescent="0.2">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x14ac:dyDescent="0.2">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x14ac:dyDescent="0.2">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x14ac:dyDescent="0.2">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x14ac:dyDescent="0.2">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x14ac:dyDescent="0.2">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x14ac:dyDescent="0.2">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x14ac:dyDescent="0.2">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x14ac:dyDescent="0.2">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x14ac:dyDescent="0.2">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x14ac:dyDescent="0.2">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x14ac:dyDescent="0.2">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x14ac:dyDescent="0.2">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x14ac:dyDescent="0.2">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x14ac:dyDescent="0.2">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x14ac:dyDescent="0.2">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x14ac:dyDescent="0.2">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x14ac:dyDescent="0.2">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x14ac:dyDescent="0.2">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x14ac:dyDescent="0.2">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x14ac:dyDescent="0.2">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x14ac:dyDescent="0.2">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x14ac:dyDescent="0.2">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x14ac:dyDescent="0.2">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x14ac:dyDescent="0.2">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x14ac:dyDescent="0.2">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x14ac:dyDescent="0.2">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x14ac:dyDescent="0.2">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x14ac:dyDescent="0.2">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x14ac:dyDescent="0.2">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x14ac:dyDescent="0.2">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x14ac:dyDescent="0.2">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x14ac:dyDescent="0.2">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x14ac:dyDescent="0.2">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x14ac:dyDescent="0.2">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x14ac:dyDescent="0.2">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x14ac:dyDescent="0.2">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x14ac:dyDescent="0.2">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x14ac:dyDescent="0.2">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x14ac:dyDescent="0.2">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x14ac:dyDescent="0.2">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x14ac:dyDescent="0.2">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x14ac:dyDescent="0.2">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x14ac:dyDescent="0.2">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x14ac:dyDescent="0.2">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x14ac:dyDescent="0.2">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x14ac:dyDescent="0.2">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x14ac:dyDescent="0.2">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x14ac:dyDescent="0.2">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x14ac:dyDescent="0.2">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x14ac:dyDescent="0.2">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x14ac:dyDescent="0.2">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x14ac:dyDescent="0.2">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x14ac:dyDescent="0.2">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x14ac:dyDescent="0.2">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x14ac:dyDescent="0.2">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x14ac:dyDescent="0.2">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x14ac:dyDescent="0.2">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x14ac:dyDescent="0.2">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x14ac:dyDescent="0.2">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x14ac:dyDescent="0.2">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x14ac:dyDescent="0.2">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x14ac:dyDescent="0.2">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x14ac:dyDescent="0.2">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x14ac:dyDescent="0.2">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x14ac:dyDescent="0.2">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x14ac:dyDescent="0.2">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x14ac:dyDescent="0.2">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x14ac:dyDescent="0.2">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x14ac:dyDescent="0.2">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x14ac:dyDescent="0.2">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x14ac:dyDescent="0.2">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x14ac:dyDescent="0.2">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x14ac:dyDescent="0.2">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x14ac:dyDescent="0.2">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x14ac:dyDescent="0.2">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x14ac:dyDescent="0.2">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x14ac:dyDescent="0.2">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x14ac:dyDescent="0.2">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x14ac:dyDescent="0.2">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x14ac:dyDescent="0.2">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x14ac:dyDescent="0.2">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x14ac:dyDescent="0.2">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x14ac:dyDescent="0.2">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x14ac:dyDescent="0.2">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x14ac:dyDescent="0.2">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x14ac:dyDescent="0.2">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x14ac:dyDescent="0.2">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x14ac:dyDescent="0.2">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x14ac:dyDescent="0.2">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x14ac:dyDescent="0.2">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x14ac:dyDescent="0.2">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x14ac:dyDescent="0.2">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x14ac:dyDescent="0.2">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x14ac:dyDescent="0.2">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x14ac:dyDescent="0.2">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x14ac:dyDescent="0.2">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x14ac:dyDescent="0.2">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x14ac:dyDescent="0.2">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x14ac:dyDescent="0.2">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x14ac:dyDescent="0.2">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x14ac:dyDescent="0.2">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x14ac:dyDescent="0.2">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x14ac:dyDescent="0.2">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x14ac:dyDescent="0.2">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x14ac:dyDescent="0.2">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x14ac:dyDescent="0.2">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x14ac:dyDescent="0.2">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x14ac:dyDescent="0.2">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x14ac:dyDescent="0.2">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x14ac:dyDescent="0.2">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x14ac:dyDescent="0.2">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x14ac:dyDescent="0.2">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x14ac:dyDescent="0.2">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 thickBot="1" x14ac:dyDescent="0.25">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 thickBot="1" x14ac:dyDescent="0.25">
      <c r="F259" s="822" t="s">
        <v>330</v>
      </c>
      <c r="G259" s="739" t="s">
        <v>366</v>
      </c>
      <c r="H259" s="414">
        <f>IF('Detailed Results'!K40&gt;0,"Error ▲", SUM(H11:H258))</f>
        <v>0</v>
      </c>
      <c r="N259" s="102"/>
      <c r="P259" s="132" t="s">
        <v>367</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 thickBot="1" x14ac:dyDescent="0.25">
      <c r="U260" s="133"/>
      <c r="V260" s="133"/>
      <c r="W260" s="133"/>
      <c r="X260" s="133"/>
      <c r="Y260" s="133"/>
      <c r="Z260" s="133"/>
      <c r="AA260" s="133"/>
      <c r="AY260" s="133"/>
    </row>
    <row r="261" spans="1:51" ht="28.5" customHeight="1" thickBot="1" x14ac:dyDescent="0.25">
      <c r="D261" s="102"/>
      <c r="E261" s="102"/>
      <c r="F261" s="511" t="s">
        <v>306</v>
      </c>
      <c r="H261" s="381">
        <f>IF('Detailed Results'!$K$40&gt;0,"Error",SUMIFS($H$11:$H$256,$G$11:$G$256,"&lt;&gt;"&amp;'G-1 All Habitats'!B80,$G$11:$G$256,"&lt;&gt;"&amp;'G-1 All Habitats'!B81,$G$11:$G$256,"&lt;&gt;"&amp;'G-1 All Habitats'!B67,$G$11:$G$256,"&lt;&gt;"&amp;'G-1 All Habitats'!B68))</f>
        <v>0</v>
      </c>
      <c r="V261" s="1421" t="s">
        <v>368</v>
      </c>
      <c r="W261" s="1422"/>
      <c r="X261" s="1422"/>
      <c r="Y261" s="1423"/>
      <c r="Z261" s="366">
        <f>IF('Detailed Results'!$K$40&gt;0,"Error",SUMIFS($Z$11:$Z$258,$G$11:$G$258,"&lt;&gt;"&amp;'G-1 All Habitats'!B67,$G$11:$G$258,"&lt;&gt;"&amp;'G-1 All Habitats'!B68,$G$11:$G$258,"&lt;&gt;"&amp;'G-1 All Habitats'!B80, $G$11:$G$258,"&lt;&gt;"&amp;'G-1 All Habitats'!B81))</f>
        <v>0</v>
      </c>
      <c r="AY261" s="30"/>
    </row>
    <row r="262" spans="1:51" ht="15" thickBot="1" x14ac:dyDescent="0.25">
      <c r="D262" s="102"/>
      <c r="E262" s="102"/>
      <c r="F262" s="102"/>
    </row>
    <row r="263" spans="1:51" x14ac:dyDescent="0.2">
      <c r="D263" s="102"/>
      <c r="E263" s="102"/>
      <c r="F263" s="1462" t="s">
        <v>308</v>
      </c>
      <c r="G263" s="36"/>
      <c r="H263" s="730" t="s">
        <v>309</v>
      </c>
      <c r="I263" s="551" t="s">
        <v>310</v>
      </c>
      <c r="J263" s="1416" t="s">
        <v>311</v>
      </c>
      <c r="K263" s="1417"/>
    </row>
    <row r="264" spans="1:51" ht="15" thickBot="1" x14ac:dyDescent="0.25">
      <c r="D264" s="102"/>
      <c r="E264" s="102"/>
      <c r="F264" s="1463"/>
      <c r="G264" s="36"/>
      <c r="H264" s="736"/>
      <c r="I264" s="552" t="str">
        <f>IF(H263="Hectares",H264,IF(H263="M²",H264/10000,""))</f>
        <v/>
      </c>
      <c r="J264" s="1418" t="str">
        <f>IF(H263="M²",H264,IF(H263="Hectares",H264*10000,""))</f>
        <v/>
      </c>
      <c r="K264" s="1419"/>
    </row>
    <row r="265" spans="1:51" x14ac:dyDescent="0.2">
      <c r="D265" s="102"/>
      <c r="E265" s="102"/>
      <c r="F265" s="102"/>
    </row>
    <row r="266" spans="1:51" x14ac:dyDescent="0.2">
      <c r="D266" s="102"/>
      <c r="E266" s="102"/>
      <c r="F266" s="102"/>
    </row>
    <row r="267" spans="1:51" x14ac:dyDescent="0.2">
      <c r="D267" s="102"/>
      <c r="E267" s="102"/>
      <c r="F267" s="102"/>
    </row>
    <row r="268" spans="1:51" x14ac:dyDescent="0.2">
      <c r="D268" s="102"/>
      <c r="E268" s="102"/>
      <c r="F268" s="102"/>
    </row>
    <row r="269" spans="1:51" x14ac:dyDescent="0.2">
      <c r="D269" s="102"/>
      <c r="E269" s="102"/>
      <c r="F269" s="102"/>
    </row>
    <row r="270" spans="1:51" x14ac:dyDescent="0.2">
      <c r="D270" s="102"/>
      <c r="E270" s="102"/>
      <c r="F270" s="102"/>
    </row>
    <row r="271" spans="1:51" x14ac:dyDescent="0.2">
      <c r="D271" s="102"/>
      <c r="E271" s="102"/>
      <c r="F271" s="102"/>
    </row>
  </sheetData>
  <sheetProtection algorithmName="SHA-512" hashValue="TGKhfM2x5REhw1IYRtMEXNmV0552GWLZ968MEMSPMP4Ci4F6cVHL3n3ajQgYYnlZ5avR9Ft5Vehb+qb1FPXQPQ==" saltValue="NtFI67NDFMAzq7NLAH4XnQ=="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H259">
    <cfRule type="cellIs" dxfId="428" priority="47" operator="equal">
      <formula>"Error ▲"</formula>
    </cfRule>
  </conditionalFormatting>
  <conditionalFormatting sqref="I6:M8">
    <cfRule type="containsText" dxfId="427" priority="8" operator="containsText" text="⚠">
      <formula>NOT(ISERROR(SEARCH("⚠",I6)))</formula>
    </cfRule>
  </conditionalFormatting>
  <conditionalFormatting sqref="L11:L258">
    <cfRule type="containsText" dxfId="426" priority="126" operator="containsText" text="Not Possible">
      <formula>NOT(ISERROR(SEARCH("Not Possible",L11)))</formula>
    </cfRule>
  </conditionalFormatting>
  <conditionalFormatting sqref="M3">
    <cfRule type="containsText" dxfId="425" priority="40" operator="containsText" text="Check">
      <formula>NOT(ISERROR(SEARCH("Check",M3)))</formula>
    </cfRule>
    <cfRule type="containsText" dxfId="424" priority="39" operator="containsText" text="Error">
      <formula>NOT(ISERROR(SEARCH("Error",M3)))</formula>
    </cfRule>
  </conditionalFormatting>
  <conditionalFormatting sqref="M4">
    <cfRule type="cellIs" dxfId="423" priority="7" operator="lessThan">
      <formula>0</formula>
    </cfRule>
    <cfRule type="containsText" dxfId="422" priority="4" operator="containsText" text="Error">
      <formula>NOT(ISERROR(SEARCH("Error",M4)))</formula>
    </cfRule>
    <cfRule type="containsText" dxfId="421" priority="5" operator="containsText" text="Check">
      <formula>NOT(ISERROR(SEARCH("Check",M4)))</formula>
    </cfRule>
    <cfRule type="cellIs" dxfId="420" priority="6" operator="equal">
      <formula>0</formula>
    </cfRule>
  </conditionalFormatting>
  <conditionalFormatting sqref="M5">
    <cfRule type="containsText" dxfId="417" priority="44" operator="containsText" text="Yes">
      <formula>NOT(ISERROR(SEARCH("Yes",M5)))</formula>
    </cfRule>
    <cfRule type="containsText" dxfId="416" priority="43" operator="containsText" text="No">
      <formula>NOT(ISERROR(SEARCH("No",M5)))</formula>
    </cfRule>
  </conditionalFormatting>
  <conditionalFormatting sqref="N11:O258">
    <cfRule type="containsText" dxfId="415" priority="78" operator="containsText" text="Spatial">
      <formula>NOT(ISERROR(SEARCH("Spatial",N11)))</formula>
    </cfRule>
  </conditionalFormatting>
  <conditionalFormatting sqref="O2:Y5">
    <cfRule type="containsText" dxfId="414" priority="38" operator="containsText" text="Check">
      <formula>NOT(ISERROR(SEARCH("Check",O2)))</formula>
    </cfRule>
  </conditionalFormatting>
  <conditionalFormatting sqref="Q11:Q258">
    <cfRule type="expression" dxfId="409" priority="72">
      <formula>"p18=""Avoid"""</formula>
    </cfRule>
    <cfRule type="expression" dxfId="408" priority="69">
      <formula>"p18=""Avoid"""</formula>
    </cfRule>
    <cfRule type="cellIs" dxfId="407" priority="67" operator="equal">
      <formula>"Any loss Unacceptable ⚠"</formula>
    </cfRule>
    <cfRule type="cellIs" dxfId="406" priority="66" operator="equal">
      <formula>"Check Data ⚠"</formula>
    </cfRule>
    <cfRule type="cellIs" dxfId="405" priority="70" operator="equal">
      <formula>"Any loss Unacceptable ⚠"</formula>
    </cfRule>
  </conditionalFormatting>
  <conditionalFormatting sqref="Q259">
    <cfRule type="cellIs" dxfId="404" priority="46" operator="equal">
      <formula>"Error ▲"</formula>
    </cfRule>
  </conditionalFormatting>
  <conditionalFormatting sqref="R11:R258">
    <cfRule type="containsText" dxfId="403" priority="36" operator="containsText" text="Existing Value Not Required">
      <formula>NOT(ISERROR(SEARCH("Existing Value Not Required",R11)))</formula>
    </cfRule>
    <cfRule type="containsText" dxfId="402" priority="37" operator="containsText" text="Existing Value Required">
      <formula>NOT(ISERROR(SEARCH("Existing Value Required",R11)))</formula>
    </cfRule>
  </conditionalFormatting>
  <conditionalFormatting sqref="R11:S11 S12:S256 R12:R258">
    <cfRule type="containsText" dxfId="401" priority="32" operator="containsText" text="Check">
      <formula>NOT(ISERROR(SEARCH("Check",R11)))</formula>
    </cfRule>
    <cfRule type="containsText" dxfId="400" priority="33" operator="containsText" text="Error">
      <formula>NOT(ISERROR(SEARCH("Error",R11)))</formula>
    </cfRule>
  </conditionalFormatting>
  <conditionalFormatting sqref="S11:S258">
    <cfRule type="containsText" dxfId="399" priority="9" operator="containsText" text="Spatial">
      <formula>NOT(ISERROR(SEARCH("Spatial",S11)))</formula>
    </cfRule>
  </conditionalFormatting>
  <conditionalFormatting sqref="S257:S258">
    <cfRule type="containsText" dxfId="398" priority="11" operator="containsText" text="Error">
      <formula>NOT(ISERROR(SEARCH("Error",S257)))</formula>
    </cfRule>
    <cfRule type="containsText" dxfId="397" priority="10" operator="containsText" text="Check">
      <formula>NOT(ISERROR(SEARCH("Check",S257)))</formula>
    </cfRule>
  </conditionalFormatting>
  <conditionalFormatting sqref="S259:T259">
    <cfRule type="cellIs" dxfId="396" priority="23" operator="equal">
      <formula>"Error ▲"</formula>
    </cfRule>
  </conditionalFormatting>
  <conditionalFormatting sqref="T11:T258">
    <cfRule type="cellIs" dxfId="395" priority="25" operator="equal">
      <formula>"Any loss Unacceptable ⚠"</formula>
    </cfRule>
    <cfRule type="cellIs" dxfId="394" priority="24" operator="equal">
      <formula>"Check Data ⚠"</formula>
    </cfRule>
    <cfRule type="expression" dxfId="393" priority="30">
      <formula>"p18=""Avoid"""</formula>
    </cfRule>
    <cfRule type="cellIs" dxfId="392" priority="28" operator="equal">
      <formula>"Any loss Unacceptable ⚠"</formula>
    </cfRule>
    <cfRule type="expression" dxfId="391" priority="27">
      <formula>"p18=""Avoid"""</formula>
    </cfRule>
  </conditionalFormatting>
  <conditionalFormatting sqref="V259:AA259">
    <cfRule type="cellIs" dxfId="390" priority="45" operator="equal">
      <formula>"Error ▲"</formula>
    </cfRule>
  </conditionalFormatting>
  <conditionalFormatting sqref="Z11:Z258">
    <cfRule type="cellIs" dxfId="389" priority="65" operator="equal">
      <formula>"Error in Areas ▲"</formula>
    </cfRule>
    <cfRule type="cellIs" dxfId="388" priority="73" operator="equal">
      <formula>"Unacceptable Loss ⚠"</formula>
    </cfRule>
  </conditionalFormatting>
  <conditionalFormatting sqref="AA11:AA258">
    <cfRule type="cellIs" dxfId="387" priority="62" operator="equal">
      <formula>"Alternative Compensation ✓"</formula>
    </cfRule>
    <cfRule type="cellIs" dxfId="386" priority="63" operator="equal">
      <formula>"Error in Areas ▲"</formula>
    </cfRule>
    <cfRule type="containsText" dxfId="385" priority="64" operator="containsText" text="Unacceptable">
      <formula>NOT(ISERROR(SEARCH("Unacceptable",AA11)))</formula>
    </cfRule>
    <cfRule type="containsText" dxfId="384" priority="3" operator="containsText" text="⚠">
      <formula>NOT(ISERROR(SEARCH("⚠",AA11)))</formula>
    </cfRule>
  </conditionalFormatting>
  <conditionalFormatting sqref="AB11:AB258">
    <cfRule type="cellIs" dxfId="383" priority="74" operator="equal">
      <formula>"No"</formula>
    </cfRule>
    <cfRule type="cellIs" dxfId="382" priority="75" operator="equal">
      <formula>"Yes"</formula>
    </cfRule>
  </conditionalFormatting>
  <conditionalFormatting sqref="AY2:AY5">
    <cfRule type="containsText" dxfId="381" priority="1" operator="containsText" text="Check">
      <formula>NOT(ISERROR(SEARCH("Check",AY2)))</formula>
    </cfRule>
  </conditionalFormatting>
  <conditionalFormatting sqref="AY259">
    <cfRule type="cellIs" dxfId="380" priority="2" operator="equal">
      <formula>"Error ▲"</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0" operator="greaterThanOrEqual" id="{52458767-4C45-4444-8724-A3DADAF3158C}">
            <xm:f>Start!$F$22</xm:f>
            <x14:dxf>
              <font>
                <color rgb="FF383745"/>
              </font>
              <fill>
                <patternFill>
                  <bgColor rgb="FF92D050"/>
                </patternFill>
              </fill>
            </x14:dxf>
          </x14:cfRule>
          <x14:cfRule type="cellIs" priority="429" operator="lessThan" id="{C9331F0E-1C51-4161-85A4-3D4B30E59263}">
            <xm:f>Start!$F$22</xm:f>
            <x14:dxf>
              <font>
                <color rgb="FF383745"/>
              </font>
              <fill>
                <patternFill>
                  <bgColor rgb="FFFFC000"/>
                </patternFill>
              </fill>
            </x14:dxf>
          </x14:cfRule>
          <xm:sqref>M4</xm:sqref>
        </x14:conditionalFormatting>
        <x14:conditionalFormatting xmlns:xm="http://schemas.microsoft.com/office/excel/2006/main">
          <x14:cfRule type="cellIs" priority="175" operator="equal" id="{94CF483F-3A53-4751-BC79-DEF0528327DD}">
            <xm:f>'G-1 All Habitats'!$X$5</xm:f>
            <x14:dxf>
              <font>
                <color rgb="FF383745"/>
              </font>
              <fill>
                <patternFill>
                  <bgColor theme="8" tint="-0.24994659260841701"/>
                </patternFill>
              </fill>
            </x14:dxf>
          </x14:cfRule>
          <x14:cfRule type="cellIs" priority="128" operator="equal" id="{4F50D605-E638-4A00-95DA-25AAC11AC10A}">
            <xm:f>'G-1 All Habitats'!$X$6</xm:f>
            <x14:dxf>
              <font>
                <color rgb="FF383745"/>
              </font>
              <fill>
                <patternFill>
                  <bgColor theme="8" tint="0.59996337778862885"/>
                </patternFill>
              </fill>
            </x14:dxf>
          </x14:cfRule>
          <x14:cfRule type="cellIs" priority="176" operator="equal" id="{B81E5FD8-88ED-479F-9E97-AEE295FEDC63}">
            <xm:f>'G-1 All Habitats'!$X$4</xm:f>
            <x14:dxf>
              <font>
                <color rgb="FF383745"/>
              </font>
              <fill>
                <patternFill>
                  <bgColor theme="6"/>
                </patternFill>
              </fill>
            </x14:dxf>
          </x14:cfRule>
          <x14:cfRule type="cellIs" priority="177" operator="equal" id="{7885BECF-B310-4E80-9044-647A2B05C768}">
            <xm:f>'G-1 All Habitats'!$X$3</xm:f>
            <x14:dxf>
              <font>
                <color auto="1"/>
              </font>
              <fill>
                <patternFill>
                  <bgColor theme="6" tint="-0.24994659260841701"/>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D1" sqref="D1"/>
    </sheetView>
  </sheetViews>
  <sheetFormatPr defaultColWidth="8.7109375" defaultRowHeight="0" customHeight="1" zeroHeight="1" x14ac:dyDescent="0.2"/>
  <cols>
    <col min="1" max="1" width="8.7109375" style="30" hidden="1" customWidth="1"/>
    <col min="2" max="2" width="10.42578125" style="30" hidden="1" customWidth="1"/>
    <col min="3" max="3" width="19.855468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140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140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85546875" style="30" hidden="1" customWidth="1"/>
    <col min="28" max="28" width="12.7109375" style="30" customWidth="1"/>
    <col min="29" max="30" width="34.85546875" style="30" customWidth="1"/>
    <col min="31" max="31" width="14.140625" style="30" customWidth="1"/>
    <col min="32" max="32" width="16.85546875" style="30" customWidth="1"/>
    <col min="33" max="33" width="11.28515625" style="30" customWidth="1"/>
    <col min="34" max="34" width="14.5703125" style="30" hidden="1" customWidth="1"/>
    <col min="35" max="36" width="8.85546875" style="30" hidden="1" customWidth="1"/>
    <col min="37" max="39" width="0" style="30" hidden="1" customWidth="1"/>
    <col min="40" max="42" width="8.7109375" style="30"/>
    <col min="43" max="43" width="8.7109375" style="30" customWidth="1"/>
    <col min="44" max="16384" width="8.7109375" style="30"/>
  </cols>
  <sheetData>
    <row r="1" spans="1:32" ht="15" thickBot="1" x14ac:dyDescent="0.25"/>
    <row r="2" spans="1:32" ht="25.9" customHeight="1" thickBot="1" x14ac:dyDescent="0.3">
      <c r="D2" s="1516" t="str">
        <f>CONCATENATE("Project Name:", " ", Start!F12, "     ", "Map Reference:", " ", Start!K66)</f>
        <v xml:space="preserve">Project Name: Botley West Solar Farm     Map Reference: </v>
      </c>
      <c r="E2" s="1517"/>
      <c r="G2" s="895">
        <v>0.01</v>
      </c>
      <c r="H2" s="1546" t="s">
        <v>263</v>
      </c>
      <c r="I2" s="1547"/>
      <c r="J2" s="1547"/>
      <c r="K2" s="1547"/>
      <c r="L2" s="1548"/>
      <c r="O2" s="1460" t="str">
        <f>IF(OR(COUNTIF($O$11:O256,"*30+*")&gt;0,COUNTIF($S$11:S256,"*30+*")&gt;0),"Note; Habitat selected has a time to target condition greater than 30 years. Non standard agreement may be required. ⚠","")</f>
        <v/>
      </c>
      <c r="P2" s="1460"/>
      <c r="Q2" s="1460"/>
      <c r="R2" s="1460"/>
      <c r="S2" s="1460"/>
      <c r="T2" s="1460"/>
      <c r="U2" s="1515" t="str" cm="1">
        <f t="array" ref="U2">IF(OR(J11:J256 = "Fairly Good", J11:J256 = "Fairly Poor"),"A 'Fairly' Category has been used - check evidence to ensure this is appropriate ⚠", "")</f>
        <v/>
      </c>
      <c r="V2" s="1515"/>
      <c r="W2" s="1515"/>
      <c r="X2" s="1515"/>
      <c r="Y2" s="1515"/>
    </row>
    <row r="3" spans="1:32" ht="19.899999999999999" customHeight="1" x14ac:dyDescent="0.2">
      <c r="D3" s="1509" t="str">
        <f ca="1">MID(CELL("filename",C1),FIND("]",CELL("filename",C1))+1,256)</f>
        <v>D-2 Off-Site Habitat Creation</v>
      </c>
      <c r="E3" s="1510"/>
      <c r="G3" s="197"/>
      <c r="H3" s="1491" t="s">
        <v>264</v>
      </c>
      <c r="I3" s="1493"/>
      <c r="J3" s="1493"/>
      <c r="K3" s="1519"/>
      <c r="L3" s="512">
        <f ca="1">'Headline Results'!H47</f>
        <v>2079.2936185042022</v>
      </c>
      <c r="M3" s="35"/>
      <c r="N3" s="35"/>
      <c r="O3" s="1460"/>
      <c r="P3" s="1460"/>
      <c r="Q3" s="1460"/>
      <c r="R3" s="1460"/>
      <c r="S3" s="1460"/>
      <c r="T3" s="1460"/>
      <c r="U3" s="1515"/>
      <c r="V3" s="1515"/>
      <c r="W3" s="1515"/>
      <c r="X3" s="1515"/>
      <c r="Y3" s="1515"/>
    </row>
    <row r="4" spans="1:32" ht="15.75" customHeight="1" thickBot="1" x14ac:dyDescent="0.25">
      <c r="D4" s="1512"/>
      <c r="E4" s="1513"/>
      <c r="G4" s="197"/>
      <c r="H4" s="1520" t="s">
        <v>266</v>
      </c>
      <c r="I4" s="1521"/>
      <c r="J4" s="1521"/>
      <c r="K4" s="1522"/>
      <c r="L4" s="513">
        <f ca="1">'Headline Results'!H51</f>
        <v>0.81283399226151964</v>
      </c>
      <c r="M4" s="41"/>
      <c r="N4" s="35"/>
      <c r="O4" s="310"/>
      <c r="P4" s="310"/>
      <c r="Q4" s="310"/>
      <c r="R4" s="310"/>
      <c r="S4" s="310"/>
      <c r="U4" s="1515"/>
      <c r="V4" s="1515"/>
      <c r="W4" s="1515"/>
      <c r="X4" s="1515"/>
      <c r="Y4" s="1515"/>
    </row>
    <row r="5" spans="1:32" ht="29.45" customHeight="1" x14ac:dyDescent="0.25">
      <c r="H5" s="1520" t="s">
        <v>268</v>
      </c>
      <c r="I5" s="1521"/>
      <c r="J5" s="1521"/>
      <c r="K5" s="1522"/>
      <c r="L5" s="514" t="str" cm="1">
        <f t="array" aca="1" ref="L5" ca="1">IF(OR('Trading Summary Area Habitats'!G5:G8="No ▲"), "No - check trading summaries ▲", "Yes ✓")</f>
        <v>Yes ✓</v>
      </c>
      <c r="M5" s="199"/>
      <c r="N5" s="190"/>
      <c r="O5" s="1494"/>
      <c r="P5" s="1494"/>
      <c r="Q5" s="1494"/>
      <c r="R5" s="1494"/>
      <c r="S5" s="1494"/>
      <c r="T5" s="1494"/>
      <c r="U5" s="1515"/>
      <c r="V5" s="1515"/>
      <c r="W5" s="1515"/>
      <c r="X5" s="1515"/>
      <c r="Y5" s="1515"/>
    </row>
    <row r="6" spans="1:32" ht="44.1" customHeight="1" thickBot="1" x14ac:dyDescent="0.25">
      <c r="H6" s="1479" t="s">
        <v>1678</v>
      </c>
      <c r="I6" s="1480"/>
      <c r="J6" s="1480"/>
      <c r="K6" s="1481"/>
      <c r="L6" s="48" t="str">
        <f>IF(ABS('D-1 Off-Site Habitat Baseline'!Z261 - G259)&lt;=G2,  "Area Acceptable 🗸", "Error - Area created does not equal area lost ▲")</f>
        <v>Area Acceptable 🗸</v>
      </c>
      <c r="M6" s="509"/>
      <c r="N6" s="509"/>
      <c r="O6" s="1494"/>
      <c r="P6" s="1494"/>
      <c r="Q6" s="1494"/>
      <c r="R6" s="1494"/>
      <c r="S6" s="1494"/>
      <c r="T6" s="1494"/>
      <c r="U6" s="1550" t="str" cm="1">
        <f t="array" ref="U6">IF(OR(E11:E258="watercourse footprint"),"Please ensure the watercourse details for any watercourse footprints recorded are included in the watercourse tabs ⚠", "")</f>
        <v/>
      </c>
      <c r="V6" s="1550"/>
      <c r="W6" s="1550"/>
      <c r="X6" s="1550"/>
    </row>
    <row r="7" spans="1:32" ht="15" thickBot="1" x14ac:dyDescent="0.25"/>
    <row r="8" spans="1:32" ht="26.45" customHeight="1" thickBot="1" x14ac:dyDescent="0.25">
      <c r="D8" s="1539" t="s">
        <v>312</v>
      </c>
      <c r="E8" s="1540"/>
      <c r="F8" s="1540"/>
      <c r="G8" s="1540"/>
      <c r="H8" s="1540"/>
      <c r="I8" s="1540"/>
      <c r="J8" s="1540"/>
      <c r="K8" s="1540"/>
      <c r="L8" s="1540"/>
      <c r="M8" s="1540"/>
      <c r="N8" s="1540"/>
      <c r="O8" s="1540"/>
      <c r="P8" s="1540"/>
      <c r="Q8" s="1540"/>
      <c r="R8" s="1540"/>
      <c r="S8" s="1540"/>
      <c r="T8" s="1540"/>
      <c r="U8" s="1540"/>
      <c r="V8" s="1540"/>
      <c r="W8" s="1540"/>
      <c r="X8" s="1541"/>
    </row>
    <row r="9" spans="1:32" s="33" customFormat="1" ht="27.6" customHeight="1" thickBot="1" x14ac:dyDescent="0.25">
      <c r="B9" s="30"/>
      <c r="C9" s="30"/>
      <c r="D9" s="1312" t="s">
        <v>283</v>
      </c>
      <c r="E9" s="1314" t="s">
        <v>314</v>
      </c>
      <c r="F9" s="1314" t="s">
        <v>314</v>
      </c>
      <c r="G9" s="1536" t="s">
        <v>286</v>
      </c>
      <c r="H9" s="1312" t="s">
        <v>270</v>
      </c>
      <c r="I9" s="1310" t="s">
        <v>287</v>
      </c>
      <c r="J9" s="1543" t="s">
        <v>271</v>
      </c>
      <c r="K9" s="1310" t="s">
        <v>287</v>
      </c>
      <c r="L9" s="1549" t="s">
        <v>272</v>
      </c>
      <c r="M9" s="1549"/>
      <c r="N9" s="1549"/>
      <c r="O9" s="1549" t="s">
        <v>337</v>
      </c>
      <c r="P9" s="1549"/>
      <c r="Q9" s="1549"/>
      <c r="R9" s="1549"/>
      <c r="S9" s="1549"/>
      <c r="T9" s="1549"/>
      <c r="U9" s="1549" t="s">
        <v>338</v>
      </c>
      <c r="V9" s="1549"/>
      <c r="W9" s="1549"/>
      <c r="X9" s="1549"/>
      <c r="Y9" s="1532" t="s">
        <v>359</v>
      </c>
      <c r="Z9" s="1545"/>
      <c r="AA9" s="1545" t="s">
        <v>369</v>
      </c>
      <c r="AB9" s="1531" t="s">
        <v>317</v>
      </c>
      <c r="AC9" s="1529" t="s">
        <v>277</v>
      </c>
      <c r="AD9" s="1530"/>
      <c r="AE9" s="30"/>
      <c r="AF9" s="30"/>
    </row>
    <row r="10" spans="1:32" ht="57" customHeight="1" thickBot="1" x14ac:dyDescent="0.25">
      <c r="A10" s="101" t="s">
        <v>281</v>
      </c>
      <c r="C10" s="30" t="s">
        <v>370</v>
      </c>
      <c r="D10" s="1535"/>
      <c r="E10" s="1538"/>
      <c r="F10" s="1538"/>
      <c r="G10" s="1537"/>
      <c r="H10" s="1535"/>
      <c r="I10" s="1542"/>
      <c r="J10" s="1544"/>
      <c r="K10" s="1542"/>
      <c r="L10" s="668" t="s">
        <v>272</v>
      </c>
      <c r="M10" s="840" t="s">
        <v>272</v>
      </c>
      <c r="N10" s="667" t="s">
        <v>318</v>
      </c>
      <c r="O10" s="668" t="s">
        <v>319</v>
      </c>
      <c r="P10" s="840" t="s">
        <v>371</v>
      </c>
      <c r="Q10" s="840" t="s">
        <v>321</v>
      </c>
      <c r="R10" s="840" t="s">
        <v>322</v>
      </c>
      <c r="S10" s="840" t="s">
        <v>323</v>
      </c>
      <c r="T10" s="667" t="s">
        <v>324</v>
      </c>
      <c r="U10" s="668" t="s">
        <v>325</v>
      </c>
      <c r="V10" s="840" t="s">
        <v>326</v>
      </c>
      <c r="W10" s="840" t="s">
        <v>327</v>
      </c>
      <c r="X10" s="667" t="s">
        <v>328</v>
      </c>
      <c r="Y10" s="853" t="s">
        <v>362</v>
      </c>
      <c r="Z10" s="821" t="s">
        <v>359</v>
      </c>
      <c r="AA10" s="1532"/>
      <c r="AB10" s="1534"/>
      <c r="AC10" s="214" t="s">
        <v>296</v>
      </c>
      <c r="AD10" s="748" t="s">
        <v>297</v>
      </c>
      <c r="AE10" s="682" t="s">
        <v>298</v>
      </c>
      <c r="AF10" s="682" t="s">
        <v>364</v>
      </c>
    </row>
    <row r="11" spans="1:32" ht="14.25" x14ac:dyDescent="0.2">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4.25" x14ac:dyDescent="0.2">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4.25" x14ac:dyDescent="0.2">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4.25" x14ac:dyDescent="0.2">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4.25" x14ac:dyDescent="0.2">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4.25" x14ac:dyDescent="0.2">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4.25" x14ac:dyDescent="0.2">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4.25" x14ac:dyDescent="0.2">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4.25" x14ac:dyDescent="0.2">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4.25" x14ac:dyDescent="0.2">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4.25" x14ac:dyDescent="0.2">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4.25" x14ac:dyDescent="0.2">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4.25" x14ac:dyDescent="0.2">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4.25" x14ac:dyDescent="0.2">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4.25" x14ac:dyDescent="0.2">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4.25" x14ac:dyDescent="0.2">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4.25" x14ac:dyDescent="0.2">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4.25" x14ac:dyDescent="0.2">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4.25" x14ac:dyDescent="0.2">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4.25" x14ac:dyDescent="0.2">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4.25" x14ac:dyDescent="0.2">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4.25" x14ac:dyDescent="0.2">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4.25" x14ac:dyDescent="0.2">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4.25" x14ac:dyDescent="0.2">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4.25" x14ac:dyDescent="0.2">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4.25" x14ac:dyDescent="0.2">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4.25" x14ac:dyDescent="0.2">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4.25" x14ac:dyDescent="0.2">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4.25" x14ac:dyDescent="0.2">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4.25" x14ac:dyDescent="0.2">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4.25" x14ac:dyDescent="0.2">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4.25" x14ac:dyDescent="0.2">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4.25" x14ac:dyDescent="0.2">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4.25" x14ac:dyDescent="0.2">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4.25" x14ac:dyDescent="0.2">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4.25" x14ac:dyDescent="0.2">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4.25" x14ac:dyDescent="0.2">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4.25" x14ac:dyDescent="0.2">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4.25" x14ac:dyDescent="0.2">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4.25" x14ac:dyDescent="0.2">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4.25" x14ac:dyDescent="0.2">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4.25" x14ac:dyDescent="0.2">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4.25" x14ac:dyDescent="0.2">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4.25" x14ac:dyDescent="0.2">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4.25" x14ac:dyDescent="0.2">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4.25" x14ac:dyDescent="0.2">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4.25" x14ac:dyDescent="0.2">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4.25" x14ac:dyDescent="0.2">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4.25" x14ac:dyDescent="0.2">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4.25" x14ac:dyDescent="0.2">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4.25" x14ac:dyDescent="0.2">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4.25" x14ac:dyDescent="0.2">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4.25" x14ac:dyDescent="0.2">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4.25" x14ac:dyDescent="0.2">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4.25" x14ac:dyDescent="0.2">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4.25" x14ac:dyDescent="0.2">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4.25" x14ac:dyDescent="0.2">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4.25" x14ac:dyDescent="0.2">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4.25" x14ac:dyDescent="0.2">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4.25" x14ac:dyDescent="0.2">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4.25" x14ac:dyDescent="0.2">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4.25" x14ac:dyDescent="0.2">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4.25" x14ac:dyDescent="0.2">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4.25" x14ac:dyDescent="0.2">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4.25" x14ac:dyDescent="0.2">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4.25" x14ac:dyDescent="0.2">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4.25" x14ac:dyDescent="0.2">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4.25" x14ac:dyDescent="0.2">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4.25" x14ac:dyDescent="0.2">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4.25" x14ac:dyDescent="0.2">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4.25" x14ac:dyDescent="0.2">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4.25" x14ac:dyDescent="0.2">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4.25" x14ac:dyDescent="0.2">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4.25" x14ac:dyDescent="0.2">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4.25" x14ac:dyDescent="0.2">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4.25" x14ac:dyDescent="0.2">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4.25" x14ac:dyDescent="0.2">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4.25" x14ac:dyDescent="0.2">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4.25" x14ac:dyDescent="0.2">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4.25" x14ac:dyDescent="0.2">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4.25" x14ac:dyDescent="0.2">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4.25" x14ac:dyDescent="0.2">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4.25" x14ac:dyDescent="0.2">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4.25" x14ac:dyDescent="0.2">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4.25" x14ac:dyDescent="0.2">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4.25" x14ac:dyDescent="0.2">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4.25" x14ac:dyDescent="0.2">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4.25" x14ac:dyDescent="0.2">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4.25" x14ac:dyDescent="0.2">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4.25" x14ac:dyDescent="0.2">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4.25" x14ac:dyDescent="0.2">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4.25" x14ac:dyDescent="0.2">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4.25" x14ac:dyDescent="0.2">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4.25" x14ac:dyDescent="0.2">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4.25" x14ac:dyDescent="0.2">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4.25" x14ac:dyDescent="0.2">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4.25" x14ac:dyDescent="0.2">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4.25" x14ac:dyDescent="0.2">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4.25" x14ac:dyDescent="0.2">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4.25" x14ac:dyDescent="0.2">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4.25" x14ac:dyDescent="0.2">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4.25" x14ac:dyDescent="0.2">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4.25" x14ac:dyDescent="0.2">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4.25" x14ac:dyDescent="0.2">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4.25" x14ac:dyDescent="0.2">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4.25" x14ac:dyDescent="0.2">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4.25" x14ac:dyDescent="0.2">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4.25" x14ac:dyDescent="0.2">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4.25" x14ac:dyDescent="0.2">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4.25" x14ac:dyDescent="0.2">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4.25" x14ac:dyDescent="0.2">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4.25" x14ac:dyDescent="0.2">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4.25" x14ac:dyDescent="0.2">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4.25" x14ac:dyDescent="0.2">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4.25" x14ac:dyDescent="0.2">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4.25" x14ac:dyDescent="0.2">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4.25" x14ac:dyDescent="0.2">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4.25" x14ac:dyDescent="0.2">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4.25" x14ac:dyDescent="0.2">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4.25" x14ac:dyDescent="0.2">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4.25" x14ac:dyDescent="0.2">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4.25" x14ac:dyDescent="0.2">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4.25" x14ac:dyDescent="0.2">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4.25" x14ac:dyDescent="0.2">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4.25" x14ac:dyDescent="0.2">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4.25" x14ac:dyDescent="0.2">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4.25" x14ac:dyDescent="0.2">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4.25" x14ac:dyDescent="0.2">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4.25" x14ac:dyDescent="0.2">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4.25" x14ac:dyDescent="0.2">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4.25" x14ac:dyDescent="0.2">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4.25" x14ac:dyDescent="0.2">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4.25" x14ac:dyDescent="0.2">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4.25" x14ac:dyDescent="0.2">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4.25" x14ac:dyDescent="0.2">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4.25" x14ac:dyDescent="0.2">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4.25" x14ac:dyDescent="0.2">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4.25" x14ac:dyDescent="0.2">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4.25" x14ac:dyDescent="0.2">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4.25" x14ac:dyDescent="0.2">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4.25" x14ac:dyDescent="0.2">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4.25" x14ac:dyDescent="0.2">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4.25" x14ac:dyDescent="0.2">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4.25" x14ac:dyDescent="0.2">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4.25" x14ac:dyDescent="0.2">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4.25" x14ac:dyDescent="0.2">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4.25" x14ac:dyDescent="0.2">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4.25" x14ac:dyDescent="0.2">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4.25" x14ac:dyDescent="0.2">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4.25" x14ac:dyDescent="0.2">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4.25" x14ac:dyDescent="0.2">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4.25" x14ac:dyDescent="0.2">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4.25" x14ac:dyDescent="0.2">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4.25" x14ac:dyDescent="0.2">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4.25" x14ac:dyDescent="0.2">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4.25" x14ac:dyDescent="0.2">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4.25" x14ac:dyDescent="0.2">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4.25" x14ac:dyDescent="0.2">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4.25" x14ac:dyDescent="0.2">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4.25" x14ac:dyDescent="0.2">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4.25" x14ac:dyDescent="0.2">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4.25" x14ac:dyDescent="0.2">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4.25" x14ac:dyDescent="0.2">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4.25" x14ac:dyDescent="0.2">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4.25" x14ac:dyDescent="0.2">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4.25" x14ac:dyDescent="0.2">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4.25" x14ac:dyDescent="0.2">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4.25" x14ac:dyDescent="0.2">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4.25" x14ac:dyDescent="0.2">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4.25" x14ac:dyDescent="0.2">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4.25" x14ac:dyDescent="0.2">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4.25" x14ac:dyDescent="0.2">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4.25" x14ac:dyDescent="0.2">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4.25" x14ac:dyDescent="0.2">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4.25" x14ac:dyDescent="0.2">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4.25" x14ac:dyDescent="0.2">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4.25" x14ac:dyDescent="0.2">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4.25" x14ac:dyDescent="0.2">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4.25" x14ac:dyDescent="0.2">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4.25" x14ac:dyDescent="0.2">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4.25" x14ac:dyDescent="0.2">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4.25" x14ac:dyDescent="0.2">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4.25" x14ac:dyDescent="0.2">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4.25" x14ac:dyDescent="0.2">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4.25" x14ac:dyDescent="0.2">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4.25" x14ac:dyDescent="0.2">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4.25" x14ac:dyDescent="0.2">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4.25" x14ac:dyDescent="0.2">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4.25" x14ac:dyDescent="0.2">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4.25" x14ac:dyDescent="0.2">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4.25" x14ac:dyDescent="0.2">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4.25" x14ac:dyDescent="0.2">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4.25" x14ac:dyDescent="0.2">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4.25" x14ac:dyDescent="0.2">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4.25" x14ac:dyDescent="0.2">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4.25" x14ac:dyDescent="0.2">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4.25" x14ac:dyDescent="0.2">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4.25" x14ac:dyDescent="0.2">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4.25" x14ac:dyDescent="0.2">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4.25" x14ac:dyDescent="0.2">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4.25" x14ac:dyDescent="0.2">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4.25" x14ac:dyDescent="0.2">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4.25" x14ac:dyDescent="0.2">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4.25" x14ac:dyDescent="0.2">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4.25" x14ac:dyDescent="0.2">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4.25" x14ac:dyDescent="0.2">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4.25" x14ac:dyDescent="0.2">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4.25" x14ac:dyDescent="0.2">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4.25" x14ac:dyDescent="0.2">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4.25" x14ac:dyDescent="0.2">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4.25" x14ac:dyDescent="0.2">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4.25" x14ac:dyDescent="0.2">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4.25" x14ac:dyDescent="0.2">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4.25" x14ac:dyDescent="0.2">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4.25" x14ac:dyDescent="0.2">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4.25" x14ac:dyDescent="0.2">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4.25" x14ac:dyDescent="0.2">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4.25" x14ac:dyDescent="0.2">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4.25" x14ac:dyDescent="0.2">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4.25" x14ac:dyDescent="0.2">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4.25" x14ac:dyDescent="0.2">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4.25" x14ac:dyDescent="0.2">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4.25" x14ac:dyDescent="0.2">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4.25" x14ac:dyDescent="0.2">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4.25" x14ac:dyDescent="0.2">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4.25" x14ac:dyDescent="0.2">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4.25" x14ac:dyDescent="0.2">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4.25" x14ac:dyDescent="0.2">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4.25" x14ac:dyDescent="0.2">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4.25" x14ac:dyDescent="0.2">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4.25" x14ac:dyDescent="0.2">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4.25" x14ac:dyDescent="0.2">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4.25" x14ac:dyDescent="0.2">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4.25" x14ac:dyDescent="0.2">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4.25" x14ac:dyDescent="0.2">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4.25" x14ac:dyDescent="0.2">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4.25" x14ac:dyDescent="0.2">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4.25" x14ac:dyDescent="0.2">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4.25" x14ac:dyDescent="0.2">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4.25" x14ac:dyDescent="0.2">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4.25" x14ac:dyDescent="0.2">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4.25" x14ac:dyDescent="0.2">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4.25" x14ac:dyDescent="0.2">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4.25" x14ac:dyDescent="0.2">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4.25" x14ac:dyDescent="0.2">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 thickBot="1" x14ac:dyDescent="0.25">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 thickBot="1" x14ac:dyDescent="0.25">
      <c r="E257" s="655" t="s">
        <v>330</v>
      </c>
      <c r="F257" s="261" t="s">
        <v>331</v>
      </c>
      <c r="G257" s="403">
        <f>SUM(G11:G256)</f>
        <v>0</v>
      </c>
      <c r="T257" s="133"/>
      <c r="U257" s="133"/>
      <c r="V257" s="133"/>
      <c r="W257" s="133"/>
      <c r="X257" s="133"/>
      <c r="Y257" s="133"/>
      <c r="Z257" s="740" t="s">
        <v>332</v>
      </c>
      <c r="AA257" s="344">
        <f>SUM(AA11:AA256)</f>
        <v>0</v>
      </c>
      <c r="AB257" s="414">
        <f>SUM(AB11:AB256)</f>
        <v>0</v>
      </c>
    </row>
    <row r="258" spans="5:28" ht="15" thickBot="1" x14ac:dyDescent="0.25"/>
    <row r="259" spans="5:28" ht="15" thickBot="1" x14ac:dyDescent="0.25">
      <c r="E259" s="511" t="s">
        <v>306</v>
      </c>
      <c r="F259" s="35"/>
      <c r="G259" s="381">
        <f>IF('Detailed Results'!$K$40&gt;0,"Error",SUMIFS($G$11:$G$256,$F$11:$F$256,"&lt;&gt;"&amp;'G-1 All Habitats'!B80,$F$11:$F$256,"&lt;&gt;"&amp;'G-1 All Habitats'!B81,$F$11:$F$256,"&lt;&gt;"&amp;'G-1 All Habitats'!B67,$F$11:$F$256,"&lt;&gt;"&amp;'G-1 All Habitats'!B68, $F$11:$F$256,"&lt;&gt;"&amp;'G-1 All Habitats'!B81))</f>
        <v>0</v>
      </c>
    </row>
    <row r="260" spans="5:28" ht="15" thickBot="1" x14ac:dyDescent="0.25"/>
    <row r="261" spans="5:28" ht="14.25" x14ac:dyDescent="0.2">
      <c r="E261" s="1462" t="s">
        <v>308</v>
      </c>
      <c r="F261" s="36"/>
      <c r="G261" s="554" t="s">
        <v>309</v>
      </c>
      <c r="H261" s="551" t="s">
        <v>310</v>
      </c>
      <c r="I261" s="1416" t="s">
        <v>311</v>
      </c>
      <c r="J261" s="1417"/>
    </row>
    <row r="262" spans="5:28" ht="15" thickBot="1" x14ac:dyDescent="0.25">
      <c r="E262" s="1463"/>
      <c r="F262" s="36"/>
      <c r="G262" s="553"/>
      <c r="H262" s="552" t="str">
        <f>IF(G261="Hectares",G262,IF(G261="M²",G262/10000,""))</f>
        <v/>
      </c>
      <c r="I262" s="1418" t="str">
        <f>IF(G261="M²",G262,IF(G261="Hectares",G262*10000,""))</f>
        <v/>
      </c>
      <c r="J262" s="1419"/>
    </row>
    <row r="263" spans="5:28" ht="14.25" x14ac:dyDescent="0.2"/>
    <row r="264" spans="5:28" ht="14.25" hidden="1" x14ac:dyDescent="0.2">
      <c r="T264" s="30" t="s">
        <v>372</v>
      </c>
      <c r="U264" s="30" t="s">
        <v>372</v>
      </c>
      <c r="X264" s="30" t="s">
        <v>372</v>
      </c>
      <c r="AA264" s="30" t="s">
        <v>372</v>
      </c>
    </row>
    <row r="265" spans="5:28" ht="14.25" hidden="1" x14ac:dyDescent="0.2">
      <c r="T265" s="30" t="s">
        <v>372</v>
      </c>
      <c r="U265" s="30" t="s">
        <v>372</v>
      </c>
      <c r="X265" s="30" t="s">
        <v>372</v>
      </c>
      <c r="AA265" s="30" t="s">
        <v>372</v>
      </c>
    </row>
    <row r="266" spans="5:28" ht="14.25" hidden="1" x14ac:dyDescent="0.2"/>
    <row r="267" spans="5:28" ht="14.25" hidden="1" x14ac:dyDescent="0.2"/>
    <row r="268" spans="5:28" ht="14.25" hidden="1" x14ac:dyDescent="0.2"/>
    <row r="269" spans="5:28" ht="14.25" hidden="1" x14ac:dyDescent="0.2"/>
    <row r="270" spans="5:28" ht="14.25" hidden="1" x14ac:dyDescent="0.2"/>
  </sheetData>
  <sheetProtection algorithmName="SHA-512" hashValue="V/aVLmsqVPykBSzmP0gLQbE34xHZlaDrqJNN7JKTJ2P3a80Nu60mQXMMIJoMsMpwBO8AjxSAPaYhUnKiLmxkrA==" saltValue="Egb4GQ/bi5h3KOog5DH4EA=="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K11:K256">
    <cfRule type="containsText" dxfId="379" priority="53" operator="containsText" text="Not Possible">
      <formula>NOT(ISERROR(SEARCH("Not Possible",K11)))</formula>
    </cfRule>
  </conditionalFormatting>
  <conditionalFormatting sqref="L3">
    <cfRule type="containsText" dxfId="378" priority="17" operator="containsText" text="Error">
      <formula>NOT(ISERROR(SEARCH("Error",L3)))</formula>
    </cfRule>
    <cfRule type="containsText" dxfId="377" priority="18" operator="containsText" text="Check">
      <formula>NOT(ISERROR(SEARCH("Check",L3)))</formula>
    </cfRule>
  </conditionalFormatting>
  <conditionalFormatting sqref="L4">
    <cfRule type="containsText" dxfId="376" priority="1" operator="containsText" text="Error">
      <formula>NOT(ISERROR(SEARCH("Error",L4)))</formula>
    </cfRule>
    <cfRule type="containsText" dxfId="375" priority="2" operator="containsText" text="Check">
      <formula>NOT(ISERROR(SEARCH("Check",L4)))</formula>
    </cfRule>
    <cfRule type="cellIs" dxfId="374" priority="3" operator="equal">
      <formula>0</formula>
    </cfRule>
    <cfRule type="cellIs" dxfId="373" priority="428" operator="lessThan">
      <formula>0</formula>
    </cfRule>
  </conditionalFormatting>
  <conditionalFormatting sqref="L5">
    <cfRule type="containsText" dxfId="370" priority="13" operator="containsText" text="No">
      <formula>NOT(ISERROR(SEARCH("No",L5)))</formula>
    </cfRule>
    <cfRule type="containsText" dxfId="369" priority="14" operator="containsText" text="Yes">
      <formula>NOT(ISERROR(SEARCH("Yes",L5)))</formula>
    </cfRule>
  </conditionalFormatting>
  <conditionalFormatting sqref="L6:N6">
    <cfRule type="containsText" dxfId="368" priority="11" operator="containsText" text=" 🗸">
      <formula>NOT(ISERROR(SEARCH(" 🗸",L6)))</formula>
    </cfRule>
    <cfRule type="containsText" dxfId="367" priority="12" operator="containsText" text="▲">
      <formula>NOT(ISERROR(SEARCH("▲",L6)))</formula>
    </cfRule>
  </conditionalFormatting>
  <conditionalFormatting sqref="M11:N256">
    <cfRule type="containsText" dxfId="366" priority="41" operator="containsText" text="Spatial ">
      <formula>NOT(ISERROR(SEARCH("Spatial ",M11)))</formula>
    </cfRule>
  </conditionalFormatting>
  <conditionalFormatting sqref="O2 S4 O5">
    <cfRule type="beginsWith" dxfId="365" priority="34" operator="beginsWith" text="Note">
      <formula>LEFT(O2,LEN("Note"))="Note"</formula>
    </cfRule>
  </conditionalFormatting>
  <conditionalFormatting sqref="O5">
    <cfRule type="containsText" dxfId="364" priority="33" operator="containsText" text="Check">
      <formula>NOT(ISERROR(SEARCH("Check",O5)))</formula>
    </cfRule>
  </conditionalFormatting>
  <conditionalFormatting sqref="O11:O256">
    <cfRule type="containsText" dxfId="363" priority="40" operator="containsText" text="30+">
      <formula>NOT(ISERROR(SEARCH("30+",O11)))</formula>
    </cfRule>
  </conditionalFormatting>
  <conditionalFormatting sqref="R11:X11 S11:S255 R12:W256">
    <cfRule type="containsText" dxfId="362" priority="29" operator="containsText" text="Error">
      <formula>NOT(ISERROR(SEARCH("Error",R11)))</formula>
    </cfRule>
  </conditionalFormatting>
  <conditionalFormatting sqref="R11:AA11 S11:S255 R12:W256">
    <cfRule type="containsText" dxfId="361" priority="31" operator="containsText" text="Check">
      <formula>NOT(ISERROR(SEARCH("Check",R11)))</formula>
    </cfRule>
  </conditionalFormatting>
  <conditionalFormatting sqref="S11:S256">
    <cfRule type="containsText" dxfId="360" priority="32" operator="containsText" text="30+">
      <formula>NOT(ISERROR(SEARCH("30+",S11)))</formula>
    </cfRule>
  </conditionalFormatting>
  <conditionalFormatting sqref="U6:X6">
    <cfRule type="containsText" dxfId="359" priority="5" operator="containsText" text=" ⚠">
      <formula>NOT(ISERROR(SEARCH(" ⚠",U6)))</formula>
    </cfRule>
  </conditionalFormatting>
  <conditionalFormatting sqref="U2:Y5">
    <cfRule type="containsText" dxfId="358" priority="10" operator="containsText" text="Check">
      <formula>NOT(ISERROR(SEARCH("Check",U2)))</formula>
    </cfRule>
  </conditionalFormatting>
  <conditionalFormatting sqref="V11:V256">
    <cfRule type="containsText" dxfId="357" priority="30" operator="containsText" text="No - Low Difficulty">
      <formula>NOT(ISERROR(SEARCH("No - Low Difficulty",V11)))</formula>
    </cfRule>
  </conditionalFormatting>
  <conditionalFormatting sqref="X12:X256">
    <cfRule type="containsText" dxfId="356" priority="19" operator="containsText" text="Error">
      <formula>NOT(ISERROR(SEARCH("Error",X12)))</formula>
    </cfRule>
    <cfRule type="containsText" dxfId="355" priority="20" operator="containsText" text="Check">
      <formula>NOT(ISERROR(SEARCH("Check",X12)))</formula>
    </cfRule>
  </conditionalFormatting>
  <conditionalFormatting sqref="Y11:Y256">
    <cfRule type="containsText" dxfId="354" priority="54" operator="containsText" text="Existing Value Not Required">
      <formula>NOT(ISERROR(SEARCH("Existing Value Not Required",Y11)))</formula>
    </cfRule>
    <cfRule type="containsText" dxfId="353" priority="55" operator="containsText" text="Existing Value Required">
      <formula>NOT(ISERROR(SEARCH("Existing Value Required",Y11)))</formula>
    </cfRule>
  </conditionalFormatting>
  <conditionalFormatting sqref="Y12 Y14 Y16 Y18 Y20 Y22 Y24:Y256">
    <cfRule type="containsText" dxfId="352" priority="48" operator="containsText" text="Existing Value Not Required">
      <formula>NOT(ISERROR(SEARCH("Existing Value Not Required",Y12)))</formula>
    </cfRule>
    <cfRule type="containsText" dxfId="351" priority="49" operator="containsText" text="Existing Value Required">
      <formula>NOT(ISERROR(SEARCH("Existing Value Required",Y12)))</formula>
    </cfRule>
  </conditionalFormatting>
  <conditionalFormatting sqref="Y12:Z256 Y11:AA11 AA11:AA256 AA257:AB257">
    <cfRule type="containsText" dxfId="350" priority="38" operator="containsText" text="Error">
      <formula>NOT(ISERROR(SEARCH("Error",Y11)))</formula>
    </cfRule>
  </conditionalFormatting>
  <conditionalFormatting sqref="Y12:Z256">
    <cfRule type="containsText" dxfId="349" priority="37" operator="containsText" text="Check">
      <formula>NOT(ISERROR(SEARCH("Check",Y12)))</formula>
    </cfRule>
  </conditionalFormatting>
  <conditionalFormatting sqref="Z11:Z256">
    <cfRule type="containsText" dxfId="348" priority="36" operator="containsText" text="Spatial">
      <formula>NOT(ISERROR(SEARCH("Spatial",Z11)))</formula>
    </cfRule>
  </conditionalFormatting>
  <conditionalFormatting sqref="AA11:AA256 AA257:AB257">
    <cfRule type="containsText" dxfId="347" priority="44" operator="containsText" text="Existing Value Not Required">
      <formula>NOT(ISERROR(SEARCH("Existing Value Not Required",AA11)))</formula>
    </cfRule>
    <cfRule type="containsText" dxfId="346" priority="45" operator="containsText" text="Existing Value Required">
      <formula>NOT(ISERROR(SEARCH("Existing Value Required",AA11)))</formula>
    </cfRule>
  </conditionalFormatting>
  <conditionalFormatting sqref="AA11:AB257">
    <cfRule type="containsText" dxfId="345" priority="6" operator="containsText" text="Check">
      <formula>NOT(ISERROR(SEARCH("Check",AA11)))</formula>
    </cfRule>
  </conditionalFormatting>
  <conditionalFormatting sqref="AB11:AB256">
    <cfRule type="containsText" dxfId="344" priority="7" operator="containsText" text="Error">
      <formula>NOT(ISERROR(SEARCH("Error",AB11)))</formula>
    </cfRule>
    <cfRule type="containsText" dxfId="343" priority="8" operator="containsText" text="Existing Value Not Required">
      <formula>NOT(ISERROR(SEARCH("Existing Value Not Required",AB11)))</formula>
    </cfRule>
    <cfRule type="containsText" dxfId="342" priority="9" operator="containsText" text="Existing Value Required">
      <formula>NOT(ISERROR(SEARCH("Existing Value Required",AB11)))</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29" operator="lessThan" id="{9FB64BC4-5452-406E-BB69-69551A90F2C1}">
            <xm:f>Start!$F$22</xm:f>
            <x14:dxf>
              <font>
                <color rgb="FF383745"/>
              </font>
              <fill>
                <patternFill>
                  <bgColor rgb="FFFFC000"/>
                </patternFill>
              </fill>
            </x14:dxf>
          </x14:cfRule>
          <x14:cfRule type="cellIs" priority="430" operator="greaterThanOrEqual" id="{6A83157F-A273-479A-ACE3-D1C3CD42053F}">
            <xm:f>Start!$F$22</xm:f>
            <x14:dxf>
              <font>
                <color rgb="FF383745"/>
              </font>
              <fill>
                <patternFill>
                  <bgColor rgb="FF92D050"/>
                </patternFill>
              </fill>
            </x14:dxf>
          </x14:cfRule>
          <xm:sqref>L4</xm:sqref>
        </x14:conditionalFormatting>
        <x14:conditionalFormatting xmlns:xm="http://schemas.microsoft.com/office/excel/2006/main">
          <x14:cfRule type="iconSet" priority="22"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1"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85546875" defaultRowHeight="14.25" zeroHeight="1" x14ac:dyDescent="0.2"/>
  <cols>
    <col min="1" max="1" width="8.42578125" style="30" hidden="1" customWidth="1"/>
    <col min="2" max="2" width="7.5703125" style="30" hidden="1" customWidth="1"/>
    <col min="3" max="3" width="25.855468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140625" style="30" customWidth="1"/>
    <col min="10" max="10" width="18.140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85546875" style="30" hidden="1" customWidth="1"/>
    <col min="17" max="17" width="29.7109375" style="30" customWidth="1"/>
    <col min="18" max="18" width="71.28515625" style="30" customWidth="1"/>
    <col min="19" max="19" width="15.85546875" style="30" hidden="1" customWidth="1"/>
    <col min="20" max="20" width="34.28515625" style="30" customWidth="1"/>
    <col min="21" max="21" width="37.85546875" style="30" customWidth="1"/>
    <col min="22" max="22" width="8.140625" style="30" customWidth="1"/>
    <col min="23" max="23" width="18.28515625" style="30" customWidth="1"/>
    <col min="24" max="24" width="13.140625" style="30" customWidth="1"/>
    <col min="25" max="25" width="12.5703125" style="30" bestFit="1" customWidth="1"/>
    <col min="26" max="26" width="12.5703125" style="30" customWidth="1"/>
    <col min="27" max="27" width="41.7109375" style="30" customWidth="1"/>
    <col min="28" max="28" width="20.140625" style="30" customWidth="1"/>
    <col min="29" max="29" width="12.28515625" style="30" customWidth="1"/>
    <col min="30" max="30" width="18.42578125" style="30" customWidth="1"/>
    <col min="31" max="31" width="21.28515625" style="30" customWidth="1"/>
    <col min="32" max="32" width="22.140625" style="30" customWidth="1"/>
    <col min="33" max="33" width="33" style="30" customWidth="1"/>
    <col min="34" max="35" width="18.42578125" style="30" customWidth="1"/>
    <col min="36" max="36" width="15.28515625" style="30" customWidth="1"/>
    <col min="37" max="37" width="28.28515625" style="30" customWidth="1"/>
    <col min="38" max="38" width="20.140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85546875" style="30" customWidth="1"/>
    <col min="49" max="16384" width="8.85546875" style="30"/>
  </cols>
  <sheetData>
    <row r="1" spans="1:47" ht="15.75" customHeight="1" thickBot="1" x14ac:dyDescent="0.25"/>
    <row r="2" spans="1:47" ht="19.899999999999999" customHeight="1" thickBot="1" x14ac:dyDescent="0.3">
      <c r="E2" s="1551" t="str">
        <f>CONCATENATE("Project Name:", " ", Start!F12, "     ", "Map Reference:", " ", Start!K66)</f>
        <v xml:space="preserve">Project Name: Botley West Solar Farm     Map Reference: </v>
      </c>
      <c r="F2" s="1552"/>
      <c r="G2" s="1553"/>
      <c r="R2" s="1401" t="s">
        <v>263</v>
      </c>
      <c r="S2" s="1402"/>
      <c r="T2" s="1402"/>
      <c r="U2" s="1403"/>
      <c r="V2" s="1515" t="str" cm="1">
        <f t="array" ref="V2">IF(OR(Y12:Y258 = "Fairly Good", Y12:Y258 = "Fairly Poor"),"A 'Fairly' Category has been used - check evidence to ensure this is appropriate ⚠", "")</f>
        <v/>
      </c>
      <c r="W2" s="1515"/>
      <c r="X2" s="1515"/>
      <c r="Y2" s="1515"/>
      <c r="Z2" s="1515"/>
      <c r="AA2" s="1515"/>
      <c r="AD2" s="1461" t="str">
        <f>IF(OR(COUNTIF($AD$12:AD257,"*30+*")&gt;0,COUNTIF(AH12:AH257,"*30+*")&gt;0),"Note; Habitat selected has a time to target condition greater than 30 years. Non standard agreement may be required. ⚠","")</f>
        <v/>
      </c>
      <c r="AE2" s="1461"/>
      <c r="AF2" s="1461"/>
      <c r="AG2" s="1461"/>
      <c r="AH2" s="1461"/>
      <c r="AI2" s="1461"/>
    </row>
    <row r="3" spans="1:47" ht="15.75" customHeight="1" thickBot="1" x14ac:dyDescent="0.25">
      <c r="E3" s="1554" t="str">
        <f ca="1">MID(CELL("filename",E1),FIND("]",CELL("filename",E1))+1,256)</f>
        <v>D-3 Off-Site Habitat Enhancment</v>
      </c>
      <c r="F3" s="1555"/>
      <c r="G3" s="1556"/>
      <c r="R3" s="535" t="s">
        <v>264</v>
      </c>
      <c r="S3" s="505"/>
      <c r="T3" s="1498">
        <f ca="1">'Headline Results'!H47</f>
        <v>2079.2936185042022</v>
      </c>
      <c r="U3" s="1499"/>
      <c r="V3" s="1515"/>
      <c r="W3" s="1515"/>
      <c r="X3" s="1515"/>
      <c r="Y3" s="1515"/>
      <c r="Z3" s="1515"/>
      <c r="AA3" s="1515"/>
      <c r="AD3" s="1461"/>
      <c r="AE3" s="1461"/>
      <c r="AF3" s="1461"/>
      <c r="AG3" s="1461"/>
      <c r="AH3" s="1461"/>
      <c r="AI3" s="1461"/>
    </row>
    <row r="4" spans="1:47" ht="15.75" customHeight="1" thickBot="1" x14ac:dyDescent="0.3">
      <c r="E4" s="1554"/>
      <c r="F4" s="1555"/>
      <c r="G4" s="1556"/>
      <c r="R4" s="506" t="s">
        <v>266</v>
      </c>
      <c r="S4" s="507"/>
      <c r="T4" s="1574">
        <f ca="1">'Headline Results'!H51</f>
        <v>0.81283399226151964</v>
      </c>
      <c r="U4" s="1575"/>
      <c r="V4" s="1515"/>
      <c r="W4" s="1515"/>
      <c r="X4" s="1515"/>
      <c r="Y4" s="1515"/>
      <c r="Z4" s="1515"/>
      <c r="AA4" s="1515"/>
      <c r="AB4" s="31"/>
      <c r="AC4" s="158"/>
      <c r="AD4" s="331"/>
      <c r="AE4" s="331"/>
      <c r="AF4" s="331"/>
      <c r="AG4" s="331"/>
      <c r="AH4" s="158"/>
      <c r="AI4" s="158"/>
      <c r="AJ4" s="158"/>
      <c r="AK4" s="158"/>
      <c r="AL4" s="158"/>
      <c r="AM4" s="158"/>
      <c r="AN4" s="158"/>
    </row>
    <row r="5" spans="1:47" ht="15" customHeight="1" thickBot="1" x14ac:dyDescent="0.25">
      <c r="R5" s="536" t="s">
        <v>268</v>
      </c>
      <c r="S5" s="508"/>
      <c r="T5" s="1576" t="str" cm="1">
        <f t="array" aca="1" ref="T5" ca="1">IF(OR('Trading Summary Area Habitats'!G5:G8="No ▲"), "No - check trading summaries ▲", "Yes ✓")</f>
        <v>Yes ✓</v>
      </c>
      <c r="U5" s="1577"/>
      <c r="V5" s="1515"/>
      <c r="W5" s="1515"/>
      <c r="X5" s="1515"/>
      <c r="Y5" s="1515"/>
      <c r="Z5" s="1515"/>
      <c r="AA5" s="1515"/>
      <c r="AD5" s="1494" t="str">
        <f>IF(Q12&lt;&gt;A12,"Change in broad habitat type detected. Check compliance with guidance.","")</f>
        <v/>
      </c>
      <c r="AE5" s="1494"/>
      <c r="AF5" s="1494"/>
      <c r="AG5" s="1494"/>
      <c r="AH5" s="1494"/>
      <c r="AI5" s="1494"/>
    </row>
    <row r="6" spans="1:47" ht="15.75" customHeight="1" x14ac:dyDescent="0.2">
      <c r="R6" s="1550" t="str" cm="1">
        <f t="array" ref="R6">IF(OR(E11:E258="watercourse footprint"),"Please ensure the watercourse details for any watercourse footprints recorded are included in the watercourse tabs ⚠","")</f>
        <v/>
      </c>
      <c r="S6" s="1550"/>
      <c r="T6" s="1550"/>
      <c r="AD6" s="1494"/>
      <c r="AE6" s="1494"/>
      <c r="AF6" s="1494"/>
      <c r="AG6" s="1494"/>
      <c r="AH6" s="1494"/>
      <c r="AI6" s="1494"/>
    </row>
    <row r="7" spans="1:47" x14ac:dyDescent="0.2">
      <c r="F7" s="102"/>
      <c r="G7" s="101"/>
      <c r="R7" s="1550"/>
      <c r="S7" s="1550"/>
      <c r="T7" s="1550"/>
    </row>
    <row r="8" spans="1:47" ht="15" thickBot="1" x14ac:dyDescent="0.25">
      <c r="R8" s="1578"/>
      <c r="S8" s="1578"/>
      <c r="T8" s="1578"/>
    </row>
    <row r="9" spans="1:47" ht="15" thickBot="1" x14ac:dyDescent="0.25">
      <c r="F9" s="101"/>
      <c r="G9" s="101"/>
      <c r="H9" s="101"/>
      <c r="I9" s="101"/>
      <c r="J9" s="101"/>
      <c r="K9" s="101"/>
      <c r="L9" s="101"/>
      <c r="M9" s="101"/>
      <c r="N9" s="101"/>
      <c r="O9" s="101"/>
      <c r="P9" s="101"/>
      <c r="Q9" s="1539" t="s">
        <v>312</v>
      </c>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1"/>
    </row>
    <row r="10" spans="1:47" ht="30.6" customHeight="1" thickBot="1" x14ac:dyDescent="0.25">
      <c r="F10" s="1557" t="s">
        <v>333</v>
      </c>
      <c r="G10" s="1559"/>
      <c r="H10" s="1559"/>
      <c r="I10" s="1559"/>
      <c r="J10" s="1559"/>
      <c r="K10" s="1559"/>
      <c r="L10" s="1559"/>
      <c r="M10" s="1559"/>
      <c r="N10" s="1559"/>
      <c r="O10" s="1560"/>
      <c r="P10" s="183"/>
      <c r="Q10" s="1557" t="s">
        <v>373</v>
      </c>
      <c r="R10" s="1560"/>
      <c r="S10" s="751"/>
      <c r="T10" s="1557" t="s">
        <v>335</v>
      </c>
      <c r="U10" s="1560"/>
      <c r="V10" s="1568" t="s">
        <v>374</v>
      </c>
      <c r="W10" s="1565" t="s">
        <v>270</v>
      </c>
      <c r="X10" s="1565" t="s">
        <v>287</v>
      </c>
      <c r="Y10" s="1565" t="s">
        <v>271</v>
      </c>
      <c r="Z10" s="1563" t="s">
        <v>287</v>
      </c>
      <c r="AA10" s="1561" t="s">
        <v>272</v>
      </c>
      <c r="AB10" s="1562"/>
      <c r="AC10" s="1558"/>
      <c r="AD10" s="1570" t="s">
        <v>315</v>
      </c>
      <c r="AE10" s="1571"/>
      <c r="AF10" s="1571"/>
      <c r="AG10" s="1571"/>
      <c r="AH10" s="1571"/>
      <c r="AI10" s="1572"/>
      <c r="AJ10" s="1570" t="s">
        <v>316</v>
      </c>
      <c r="AK10" s="1571"/>
      <c r="AL10" s="1571"/>
      <c r="AM10" s="1572"/>
      <c r="AN10" s="1557" t="s">
        <v>359</v>
      </c>
      <c r="AO10" s="1558"/>
      <c r="AP10" s="1534" t="s">
        <v>375</v>
      </c>
      <c r="AQ10" s="1534" t="s">
        <v>317</v>
      </c>
      <c r="AR10" s="1539" t="s">
        <v>277</v>
      </c>
      <c r="AS10" s="1541"/>
    </row>
    <row r="11" spans="1:47" ht="65.099999999999994" customHeight="1" thickBot="1" x14ac:dyDescent="0.25">
      <c r="A11" s="101" t="s">
        <v>283</v>
      </c>
      <c r="B11" s="101" t="s">
        <v>339</v>
      </c>
      <c r="C11" s="101" t="s">
        <v>281</v>
      </c>
      <c r="E11" s="140" t="s">
        <v>340</v>
      </c>
      <c r="F11" s="145" t="s">
        <v>341</v>
      </c>
      <c r="G11" s="145" t="s">
        <v>330</v>
      </c>
      <c r="H11" s="145" t="s">
        <v>343</v>
      </c>
      <c r="I11" s="145" t="s">
        <v>344</v>
      </c>
      <c r="J11" s="145" t="s">
        <v>345</v>
      </c>
      <c r="K11" s="145" t="s">
        <v>346</v>
      </c>
      <c r="L11" s="145" t="s">
        <v>347</v>
      </c>
      <c r="M11" s="145" t="s">
        <v>348</v>
      </c>
      <c r="N11" s="145" t="s">
        <v>349</v>
      </c>
      <c r="O11" s="144" t="s">
        <v>273</v>
      </c>
      <c r="P11" s="857" t="s">
        <v>370</v>
      </c>
      <c r="Q11" s="140" t="s">
        <v>351</v>
      </c>
      <c r="R11" s="144" t="s">
        <v>376</v>
      </c>
      <c r="S11" s="719" t="s">
        <v>377</v>
      </c>
      <c r="T11" s="140" t="s">
        <v>352</v>
      </c>
      <c r="U11" s="144" t="s">
        <v>353</v>
      </c>
      <c r="V11" s="1569"/>
      <c r="W11" s="1566"/>
      <c r="X11" s="1566"/>
      <c r="Y11" s="1566"/>
      <c r="Z11" s="1564"/>
      <c r="AA11" s="132" t="s">
        <v>272</v>
      </c>
      <c r="AB11" s="811" t="s">
        <v>272</v>
      </c>
      <c r="AC11" s="752" t="s">
        <v>318</v>
      </c>
      <c r="AD11" s="132" t="s">
        <v>319</v>
      </c>
      <c r="AE11" s="811" t="s">
        <v>378</v>
      </c>
      <c r="AF11" s="811" t="s">
        <v>355</v>
      </c>
      <c r="AG11" s="811" t="s">
        <v>322</v>
      </c>
      <c r="AH11" s="811" t="s">
        <v>323</v>
      </c>
      <c r="AI11" s="752" t="s">
        <v>324</v>
      </c>
      <c r="AJ11" s="132" t="s">
        <v>379</v>
      </c>
      <c r="AK11" s="811" t="s">
        <v>326</v>
      </c>
      <c r="AL11" s="811" t="s">
        <v>380</v>
      </c>
      <c r="AM11" s="752" t="s">
        <v>328</v>
      </c>
      <c r="AN11" s="719" t="s">
        <v>362</v>
      </c>
      <c r="AO11" s="858" t="s">
        <v>359</v>
      </c>
      <c r="AP11" s="1573"/>
      <c r="AQ11" s="1567"/>
      <c r="AR11" s="140" t="s">
        <v>296</v>
      </c>
      <c r="AS11" s="145" t="s">
        <v>297</v>
      </c>
      <c r="AT11" s="43" t="s">
        <v>298</v>
      </c>
      <c r="AU11" s="43" t="s">
        <v>364</v>
      </c>
    </row>
    <row r="12" spans="1:47" x14ac:dyDescent="0.2">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x14ac:dyDescent="0.2">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x14ac:dyDescent="0.2">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x14ac:dyDescent="0.2">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x14ac:dyDescent="0.2">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x14ac:dyDescent="0.2">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x14ac:dyDescent="0.2">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x14ac:dyDescent="0.2">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x14ac:dyDescent="0.2">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x14ac:dyDescent="0.2">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x14ac:dyDescent="0.2">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x14ac:dyDescent="0.2">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x14ac:dyDescent="0.2">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x14ac:dyDescent="0.2">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x14ac:dyDescent="0.2">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x14ac:dyDescent="0.2">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x14ac:dyDescent="0.2">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x14ac:dyDescent="0.2">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x14ac:dyDescent="0.2">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x14ac:dyDescent="0.2">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x14ac:dyDescent="0.2">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x14ac:dyDescent="0.2">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x14ac:dyDescent="0.2">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x14ac:dyDescent="0.2">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x14ac:dyDescent="0.2">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x14ac:dyDescent="0.2">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x14ac:dyDescent="0.2">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x14ac:dyDescent="0.2">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x14ac:dyDescent="0.2">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x14ac:dyDescent="0.2">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x14ac:dyDescent="0.2">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x14ac:dyDescent="0.2">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x14ac:dyDescent="0.2">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x14ac:dyDescent="0.2">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x14ac:dyDescent="0.2">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x14ac:dyDescent="0.2">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x14ac:dyDescent="0.2">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x14ac:dyDescent="0.2">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x14ac:dyDescent="0.2">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x14ac:dyDescent="0.2">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x14ac:dyDescent="0.2">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x14ac:dyDescent="0.2">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x14ac:dyDescent="0.2">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x14ac:dyDescent="0.2">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x14ac:dyDescent="0.2">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x14ac:dyDescent="0.2">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x14ac:dyDescent="0.2">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x14ac:dyDescent="0.2">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x14ac:dyDescent="0.2">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x14ac:dyDescent="0.2">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x14ac:dyDescent="0.2">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x14ac:dyDescent="0.2">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x14ac:dyDescent="0.2">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x14ac:dyDescent="0.2">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x14ac:dyDescent="0.2">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x14ac:dyDescent="0.2">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x14ac:dyDescent="0.2">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x14ac:dyDescent="0.2">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x14ac:dyDescent="0.2">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x14ac:dyDescent="0.2">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x14ac:dyDescent="0.2">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x14ac:dyDescent="0.2">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x14ac:dyDescent="0.2">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x14ac:dyDescent="0.2">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x14ac:dyDescent="0.2">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x14ac:dyDescent="0.2">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x14ac:dyDescent="0.2">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x14ac:dyDescent="0.2">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x14ac:dyDescent="0.2">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x14ac:dyDescent="0.2">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x14ac:dyDescent="0.2">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x14ac:dyDescent="0.2">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x14ac:dyDescent="0.2">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x14ac:dyDescent="0.2">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x14ac:dyDescent="0.2">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x14ac:dyDescent="0.2">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x14ac:dyDescent="0.2">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x14ac:dyDescent="0.2">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x14ac:dyDescent="0.2">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x14ac:dyDescent="0.2">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x14ac:dyDescent="0.2">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x14ac:dyDescent="0.2">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x14ac:dyDescent="0.2">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x14ac:dyDescent="0.2">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x14ac:dyDescent="0.2">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x14ac:dyDescent="0.2">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x14ac:dyDescent="0.2">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x14ac:dyDescent="0.2">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x14ac:dyDescent="0.2">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x14ac:dyDescent="0.2">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x14ac:dyDescent="0.2">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x14ac:dyDescent="0.2">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x14ac:dyDescent="0.2">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x14ac:dyDescent="0.2">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x14ac:dyDescent="0.2">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x14ac:dyDescent="0.2">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x14ac:dyDescent="0.2">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x14ac:dyDescent="0.2">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x14ac:dyDescent="0.2">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x14ac:dyDescent="0.2">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x14ac:dyDescent="0.2">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x14ac:dyDescent="0.2">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x14ac:dyDescent="0.2">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x14ac:dyDescent="0.2">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x14ac:dyDescent="0.2">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x14ac:dyDescent="0.2">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x14ac:dyDescent="0.2">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x14ac:dyDescent="0.2">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x14ac:dyDescent="0.2">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x14ac:dyDescent="0.2">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x14ac:dyDescent="0.2">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x14ac:dyDescent="0.2">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x14ac:dyDescent="0.2">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x14ac:dyDescent="0.2">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x14ac:dyDescent="0.2">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x14ac:dyDescent="0.2">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x14ac:dyDescent="0.2">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x14ac:dyDescent="0.2">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x14ac:dyDescent="0.2">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x14ac:dyDescent="0.2">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x14ac:dyDescent="0.2">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x14ac:dyDescent="0.2">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x14ac:dyDescent="0.2">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x14ac:dyDescent="0.2">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x14ac:dyDescent="0.2">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x14ac:dyDescent="0.2">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x14ac:dyDescent="0.2">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x14ac:dyDescent="0.2">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x14ac:dyDescent="0.2">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x14ac:dyDescent="0.2">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x14ac:dyDescent="0.2">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x14ac:dyDescent="0.2">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x14ac:dyDescent="0.2">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x14ac:dyDescent="0.2">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x14ac:dyDescent="0.2">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x14ac:dyDescent="0.2">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x14ac:dyDescent="0.2">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x14ac:dyDescent="0.2">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x14ac:dyDescent="0.2">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x14ac:dyDescent="0.2">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x14ac:dyDescent="0.2">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x14ac:dyDescent="0.2">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x14ac:dyDescent="0.2">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x14ac:dyDescent="0.2">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x14ac:dyDescent="0.2">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x14ac:dyDescent="0.2">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x14ac:dyDescent="0.2">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x14ac:dyDescent="0.2">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x14ac:dyDescent="0.2">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x14ac:dyDescent="0.2">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x14ac:dyDescent="0.2">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x14ac:dyDescent="0.2">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x14ac:dyDescent="0.2">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x14ac:dyDescent="0.2">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x14ac:dyDescent="0.2">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x14ac:dyDescent="0.2">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x14ac:dyDescent="0.2">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x14ac:dyDescent="0.2">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x14ac:dyDescent="0.2">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x14ac:dyDescent="0.2">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x14ac:dyDescent="0.2">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x14ac:dyDescent="0.2">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x14ac:dyDescent="0.2">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x14ac:dyDescent="0.2">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x14ac:dyDescent="0.2">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x14ac:dyDescent="0.2">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x14ac:dyDescent="0.2">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x14ac:dyDescent="0.2">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x14ac:dyDescent="0.2">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x14ac:dyDescent="0.2">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x14ac:dyDescent="0.2">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x14ac:dyDescent="0.2">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x14ac:dyDescent="0.2">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x14ac:dyDescent="0.2">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x14ac:dyDescent="0.2">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x14ac:dyDescent="0.2">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x14ac:dyDescent="0.2">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x14ac:dyDescent="0.2">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x14ac:dyDescent="0.2">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x14ac:dyDescent="0.2">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x14ac:dyDescent="0.2">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x14ac:dyDescent="0.2">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x14ac:dyDescent="0.2">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x14ac:dyDescent="0.2">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x14ac:dyDescent="0.2">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x14ac:dyDescent="0.2">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x14ac:dyDescent="0.2">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x14ac:dyDescent="0.2">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x14ac:dyDescent="0.2">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x14ac:dyDescent="0.2">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x14ac:dyDescent="0.2">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x14ac:dyDescent="0.2">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x14ac:dyDescent="0.2">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x14ac:dyDescent="0.2">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x14ac:dyDescent="0.2">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x14ac:dyDescent="0.2">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x14ac:dyDescent="0.2">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x14ac:dyDescent="0.2">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x14ac:dyDescent="0.2">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x14ac:dyDescent="0.2">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x14ac:dyDescent="0.2">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x14ac:dyDescent="0.2">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x14ac:dyDescent="0.2">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x14ac:dyDescent="0.2">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x14ac:dyDescent="0.2">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x14ac:dyDescent="0.2">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x14ac:dyDescent="0.2">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x14ac:dyDescent="0.2">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x14ac:dyDescent="0.2">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x14ac:dyDescent="0.2">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x14ac:dyDescent="0.2">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x14ac:dyDescent="0.2">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x14ac:dyDescent="0.2">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x14ac:dyDescent="0.2">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x14ac:dyDescent="0.2">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x14ac:dyDescent="0.2">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x14ac:dyDescent="0.2">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x14ac:dyDescent="0.2">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x14ac:dyDescent="0.2">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x14ac:dyDescent="0.2">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x14ac:dyDescent="0.2">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x14ac:dyDescent="0.2">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x14ac:dyDescent="0.2">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x14ac:dyDescent="0.2">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x14ac:dyDescent="0.2">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x14ac:dyDescent="0.2">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x14ac:dyDescent="0.2">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x14ac:dyDescent="0.2">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x14ac:dyDescent="0.2">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x14ac:dyDescent="0.2">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x14ac:dyDescent="0.2">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x14ac:dyDescent="0.2">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x14ac:dyDescent="0.2">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x14ac:dyDescent="0.2">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x14ac:dyDescent="0.2">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x14ac:dyDescent="0.2">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x14ac:dyDescent="0.2">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x14ac:dyDescent="0.2">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x14ac:dyDescent="0.2">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x14ac:dyDescent="0.2">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x14ac:dyDescent="0.2">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x14ac:dyDescent="0.2">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x14ac:dyDescent="0.2">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x14ac:dyDescent="0.2">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x14ac:dyDescent="0.2">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x14ac:dyDescent="0.2">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 thickBot="1" x14ac:dyDescent="0.25">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x14ac:dyDescent="0.25">
      <c r="E259" s="34"/>
      <c r="F259" s="34"/>
      <c r="G259" s="34"/>
      <c r="H259" s="34"/>
      <c r="I259" s="34"/>
      <c r="J259" s="34"/>
      <c r="K259" s="34"/>
      <c r="L259" s="34"/>
      <c r="M259" s="34"/>
      <c r="N259" s="34"/>
      <c r="O259" s="34"/>
      <c r="P259" s="34"/>
      <c r="Q259" s="34"/>
      <c r="R259" s="34"/>
      <c r="S259" s="34"/>
      <c r="T259" s="34"/>
      <c r="U259" s="891" t="s">
        <v>330</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x14ac:dyDescent="0.2">
      <c r="V260" s="30" t="str">
        <f>IF(V259&lt;&gt;'D-1 Off-Site Habitat Baseline'!W259,"Error - Area of habitat enhancement must match the area from sheet D1 ▲","")</f>
        <v/>
      </c>
    </row>
    <row r="261" spans="1:47" x14ac:dyDescent="0.2"/>
    <row r="262" spans="1:47" x14ac:dyDescent="0.2"/>
    <row r="263" spans="1:47" x14ac:dyDescent="0.2"/>
    <row r="264" spans="1:47" x14ac:dyDescent="0.2"/>
    <row r="265" spans="1:47" x14ac:dyDescent="0.2"/>
    <row r="266" spans="1:47" x14ac:dyDescent="0.2"/>
    <row r="267" spans="1:47" x14ac:dyDescent="0.2"/>
    <row r="268" spans="1:47" x14ac:dyDescent="0.2"/>
    <row r="269" spans="1:47" x14ac:dyDescent="0.2"/>
  </sheetData>
  <sheetProtection algorithmName="SHA-512" hashValue="zPpb1gH8xOQhaJUOtgALD54Yh8o5MIOSxLOHX4b/3VY6FV6aWbT8QzqdbJ5XoWjj8KB4Wq/IuzJB1lGvP5tNrw==" saltValue="7wUOHisKebPETUXOHmXlpA=="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O12:O258">
    <cfRule type="beginsWith" dxfId="341" priority="25" operator="beginsWith" text="Same distinctiveness">
      <formula>LEFT(O12,LEN("Same distinctiveness"))="Same distinctiveness"</formula>
    </cfRule>
    <cfRule type="beginsWith" dxfId="340" priority="24" operator="beginsWith" text="Bespoke">
      <formula>LEFT(O12,LEN("Bespoke"))="Bespoke"</formula>
    </cfRule>
    <cfRule type="beginsWith" dxfId="339" priority="27" operator="beginsWith" text="Same Habitat">
      <formula>LEFT(O12,LEN("Same Habitat"))="Same Habitat"</formula>
    </cfRule>
    <cfRule type="beginsWith" dxfId="338" priority="26" operator="beginsWith" text="Same broad">
      <formula>LEFT(O12,LEN("Same broad"))="Same broad"</formula>
    </cfRule>
  </conditionalFormatting>
  <conditionalFormatting sqref="R6:T8">
    <cfRule type="containsText" dxfId="337" priority="5" operator="containsText" text="⚠">
      <formula>NOT(ISERROR(SEARCH("⚠",R6)))</formula>
    </cfRule>
  </conditionalFormatting>
  <conditionalFormatting sqref="T3">
    <cfRule type="containsText" dxfId="336" priority="15" operator="containsText" text="Error">
      <formula>NOT(ISERROR(SEARCH("Error",T3)))</formula>
    </cfRule>
    <cfRule type="containsText" dxfId="335" priority="16" operator="containsText" text="Check">
      <formula>NOT(ISERROR(SEARCH("Check",T3)))</formula>
    </cfRule>
  </conditionalFormatting>
  <conditionalFormatting sqref="T4">
    <cfRule type="containsText" dxfId="334" priority="1" operator="containsText" text="Error">
      <formula>NOT(ISERROR(SEARCH("Error",T4)))</formula>
    </cfRule>
    <cfRule type="containsText" dxfId="333" priority="2" operator="containsText" text="Check">
      <formula>NOT(ISERROR(SEARCH("Check",T4)))</formula>
    </cfRule>
  </conditionalFormatting>
  <conditionalFormatting sqref="T5">
    <cfRule type="containsText" dxfId="332" priority="12" operator="containsText" text="Yes">
      <formula>NOT(ISERROR(SEARCH("Yes",T5)))</formula>
    </cfRule>
    <cfRule type="containsText" dxfId="331" priority="11" operator="containsText" text="No">
      <formula>NOT(ISERROR(SEARCH("No",T5)))</formula>
    </cfRule>
  </conditionalFormatting>
  <conditionalFormatting sqref="T4:U4">
    <cfRule type="cellIs" dxfId="330" priority="3" operator="equal">
      <formula>0</formula>
    </cfRule>
    <cfRule type="cellIs" dxfId="329" priority="4" operator="lessThan">
      <formula>0</formula>
    </cfRule>
  </conditionalFormatting>
  <conditionalFormatting sqref="T12:AP258">
    <cfRule type="containsText" dxfId="326" priority="23" operator="containsText" text="Error">
      <formula>NOT(ISERROR(SEARCH("Error",T12)))</formula>
    </cfRule>
  </conditionalFormatting>
  <conditionalFormatting sqref="V260">
    <cfRule type="containsText" dxfId="325" priority="18" operator="containsText" text="Error">
      <formula>NOT(ISERROR(SEARCH("Error",V260)))</formula>
    </cfRule>
  </conditionalFormatting>
  <conditionalFormatting sqref="V2:AA5">
    <cfRule type="containsText" dxfId="324" priority="10" operator="containsText" text="Check">
      <formula>NOT(ISERROR(SEARCH("Check",V2)))</formula>
    </cfRule>
  </conditionalFormatting>
  <conditionalFormatting sqref="Z12:Z258">
    <cfRule type="containsText" dxfId="323" priority="56" operator="containsText" text="Not Possible">
      <formula>NOT(ISERROR(SEARCH("Not Possible",Z12)))</formula>
    </cfRule>
  </conditionalFormatting>
  <conditionalFormatting sqref="Z13:Z258">
    <cfRule type="containsText" dxfId="322" priority="32" operator="containsText" text="Not Possible">
      <formula>NOT(ISERROR(SEARCH("Not Possible",Z13)))</formula>
    </cfRule>
  </conditionalFormatting>
  <conditionalFormatting sqref="AB12:AC258">
    <cfRule type="containsText" dxfId="321" priority="22" operator="containsText" text="Spatial">
      <formula>NOT(ISERROR(SEARCH("Spatial",AB12)))</formula>
    </cfRule>
  </conditionalFormatting>
  <conditionalFormatting sqref="AD2">
    <cfRule type="containsText" dxfId="320" priority="21" operator="containsText" text="Note">
      <formula>NOT(ISERROR(SEARCH("Note",AD2)))</formula>
    </cfRule>
  </conditionalFormatting>
  <conditionalFormatting sqref="AD5">
    <cfRule type="containsText" dxfId="319" priority="17" operator="containsText" text="Change">
      <formula>NOT(ISERROR(SEARCH("Change",AD5)))</formula>
    </cfRule>
  </conditionalFormatting>
  <conditionalFormatting sqref="AD12:AQ258">
    <cfRule type="containsText" dxfId="318" priority="6" operator="containsText" text="Check">
      <formula>NOT(ISERROR(SEARCH("Check",AD12)))</formula>
    </cfRule>
  </conditionalFormatting>
  <conditionalFormatting sqref="AN12:AN258">
    <cfRule type="containsText" dxfId="317" priority="53" operator="containsText" text="Existing Value Not Required">
      <formula>NOT(ISERROR(SEARCH("Existing Value Not Required",AN12)))</formula>
    </cfRule>
    <cfRule type="containsText" dxfId="316" priority="54" operator="containsText" text="Existing Value Required">
      <formula>NOT(ISERROR(SEARCH("Existing Value Required",AN12)))</formula>
    </cfRule>
  </conditionalFormatting>
  <conditionalFormatting sqref="AN13:AN258">
    <cfRule type="containsText" dxfId="315" priority="30" operator="containsText" text="Existing Value Not Required">
      <formula>NOT(ISERROR(SEARCH("Existing Value Not Required",AN13)))</formula>
    </cfRule>
    <cfRule type="containsText" dxfId="314" priority="31" operator="containsText" text="Existing Value Required">
      <formula>NOT(ISERROR(SEARCH("Existing Value Required",AN13)))</formula>
    </cfRule>
  </conditionalFormatting>
  <conditionalFormatting sqref="AO12:AO258">
    <cfRule type="containsText" dxfId="313" priority="19" operator="containsText" text="Spatial">
      <formula>NOT(ISERROR(SEARCH("Spatial",AO12)))</formula>
    </cfRule>
  </conditionalFormatting>
  <conditionalFormatting sqref="AP12:AP258">
    <cfRule type="containsText" dxfId="312" priority="29" operator="containsText" text="Existing Value Required">
      <formula>NOT(ISERROR(SEARCH("Existing Value Required",AP12)))</formula>
    </cfRule>
  </conditionalFormatting>
  <conditionalFormatting sqref="AP12:AQ258">
    <cfRule type="containsText" dxfId="311" priority="8" operator="containsText" text="Existing Value Not Required">
      <formula>NOT(ISERROR(SEARCH("Existing Value Not Required",AP12)))</formula>
    </cfRule>
  </conditionalFormatting>
  <conditionalFormatting sqref="AQ12:AQ258">
    <cfRule type="containsText" dxfId="310" priority="7" operator="containsText" text="Error">
      <formula>NOT(ISERROR(SEARCH("Error",AQ12)))</formula>
    </cfRule>
    <cfRule type="containsText" dxfId="309" priority="9" operator="containsText" text="Existing Value Required">
      <formula>NOT(ISERROR(SEARCH("Existing Value Required",AQ12)))</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1" operator="lessThan" id="{3FC4BA11-E79F-41AE-8528-BD37238A0A58}">
            <xm:f>Start!$F$22</xm:f>
            <x14:dxf>
              <font>
                <color rgb="FF383745"/>
              </font>
              <fill>
                <patternFill>
                  <bgColor rgb="FFFFC000"/>
                </patternFill>
              </fill>
            </x14:dxf>
          </x14:cfRule>
          <x14:cfRule type="cellIs" priority="432"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topLeftCell="G1" zoomScale="80" zoomScaleNormal="80" workbookViewId="0">
      <pane ySplit="9" topLeftCell="A241" activePane="bottomLeft" state="frozen"/>
      <selection pane="bottomLeft" activeCell="Q258" sqref="Q258"/>
    </sheetView>
  </sheetViews>
  <sheetFormatPr defaultColWidth="8.85546875" defaultRowHeight="14.25" x14ac:dyDescent="0.2"/>
  <cols>
    <col min="1" max="1" width="3" style="30" customWidth="1"/>
    <col min="2" max="2" width="11.85546875" style="30" customWidth="1"/>
    <col min="3" max="3" width="12.7109375" style="30" customWidth="1"/>
    <col min="4" max="4" width="62.5703125" style="30" customWidth="1"/>
    <col min="5" max="5" width="10.7109375" style="30" customWidth="1"/>
    <col min="6" max="6" width="19.140625" style="30" customWidth="1"/>
    <col min="7" max="7" width="8.7109375" style="30" customWidth="1"/>
    <col min="8" max="8" width="14.28515625" style="30" bestFit="1" customWidth="1"/>
    <col min="9" max="9" width="8.42578125" style="30" customWidth="1"/>
    <col min="10" max="10" width="52.140625" style="30" customWidth="1"/>
    <col min="11" max="11" width="21.42578125" style="30" customWidth="1"/>
    <col min="12" max="12" width="13.140625" style="30" customWidth="1"/>
    <col min="13" max="13" width="20.7109375" style="30" customWidth="1"/>
    <col min="14" max="14" width="13.28515625" style="30" customWidth="1"/>
    <col min="15" max="15" width="3.7109375" style="30" customWidth="1"/>
    <col min="16" max="17" width="12" style="30" customWidth="1"/>
    <col min="18" max="18" width="10.140625" style="30" customWidth="1"/>
    <col min="19" max="19" width="12" style="30" customWidth="1"/>
    <col min="20" max="21" width="8.7109375" style="30" customWidth="1"/>
    <col min="22" max="23" width="50.140625" style="30" customWidth="1"/>
    <col min="24" max="24" width="14.42578125" style="30" customWidth="1"/>
    <col min="25" max="25" width="8.85546875" style="30" customWidth="1"/>
    <col min="26" max="26" width="25.140625" style="30" customWidth="1"/>
    <col min="27" max="27" width="11.42578125" style="30" hidden="1" customWidth="1"/>
    <col min="28" max="28" width="21" style="30" hidden="1" customWidth="1"/>
    <col min="29" max="29" width="13.5703125" style="30" hidden="1" customWidth="1"/>
    <col min="30" max="30" width="13.85546875" style="30" hidden="1" customWidth="1"/>
    <col min="31" max="31" width="15" style="30" hidden="1" customWidth="1"/>
    <col min="32" max="32" width="14.140625" style="30" hidden="1" customWidth="1"/>
    <col min="33" max="33" width="11.7109375" style="30" hidden="1" customWidth="1"/>
    <col min="34" max="34" width="15.85546875" style="30" hidden="1" customWidth="1"/>
    <col min="35" max="35" width="12.7109375" style="30" hidden="1" customWidth="1"/>
    <col min="36" max="36" width="16.85546875" style="30" hidden="1" customWidth="1"/>
    <col min="37" max="37" width="15.140625" style="30" hidden="1" customWidth="1"/>
    <col min="38" max="38" width="26.5703125" style="30" hidden="1" customWidth="1"/>
    <col min="39" max="39" width="0" style="30" hidden="1" customWidth="1"/>
    <col min="40" max="16384" width="8.85546875" style="30"/>
  </cols>
  <sheetData>
    <row r="1" spans="2:38" ht="15" thickBot="1" x14ac:dyDescent="0.25"/>
    <row r="2" spans="2:38" ht="18.75" thickBot="1" x14ac:dyDescent="0.3">
      <c r="B2" s="1551" t="str">
        <f>CONCATENATE("Project Name:", " ", Start!F12, "     ", "Map Reference:", " ", Start!F55)</f>
        <v xml:space="preserve">Project Name: Botley West Solar Farm     Map Reference: </v>
      </c>
      <c r="C2" s="1552"/>
      <c r="D2" s="1553"/>
      <c r="F2" s="1401" t="s">
        <v>381</v>
      </c>
      <c r="G2" s="1402"/>
      <c r="H2" s="1402"/>
      <c r="I2" s="1402"/>
      <c r="J2" s="1403"/>
    </row>
    <row r="3" spans="2:38" x14ac:dyDescent="0.2">
      <c r="B3" s="1127" t="str">
        <f ca="1">MID(CELL("filename",A1),FIND("]",CELL("filename",A1))+1,256)</f>
        <v>B-1 On-Site Hedge Baseline</v>
      </c>
      <c r="C3" s="1128"/>
      <c r="D3" s="1129"/>
      <c r="F3" s="1502" t="s">
        <v>264</v>
      </c>
      <c r="G3" s="1503"/>
      <c r="H3" s="1503"/>
      <c r="I3" s="1503"/>
      <c r="J3" s="512">
        <f ca="1">'Headline Results'!H48</f>
        <v>332.1931023132538</v>
      </c>
    </row>
    <row r="4" spans="2:38" ht="15" thickBot="1" x14ac:dyDescent="0.25">
      <c r="B4" s="1130"/>
      <c r="C4" s="1131"/>
      <c r="D4" s="1132"/>
      <c r="F4" s="1580" t="s">
        <v>266</v>
      </c>
      <c r="G4" s="1581"/>
      <c r="H4" s="1581"/>
      <c r="I4" s="1581"/>
      <c r="J4" s="513">
        <f ca="1">'Headline Results'!H52</f>
        <v>0.59183226774872055</v>
      </c>
    </row>
    <row r="5" spans="2:38" ht="15" thickBot="1" x14ac:dyDescent="0.25">
      <c r="F5" s="1579" t="s">
        <v>268</v>
      </c>
      <c r="G5" s="1576"/>
      <c r="H5" s="1576"/>
      <c r="I5" s="1576"/>
      <c r="J5" s="504" t="str" cm="1">
        <f t="array" aca="1" ref="J5" ca="1">IF(OR('Trading Summary Hedgerows'!G5:H8="No ▲"), "No - check trading summary ▲", "Yes ✓")</f>
        <v>Yes ✓</v>
      </c>
    </row>
    <row r="7" spans="2:38" ht="15" thickBot="1" x14ac:dyDescent="0.25">
      <c r="B7" s="102"/>
      <c r="C7" s="102"/>
      <c r="E7" s="101"/>
    </row>
    <row r="8" spans="2:38" s="33" customFormat="1" ht="29.25" thickBot="1" x14ac:dyDescent="0.25">
      <c r="B8" s="32"/>
      <c r="C8" s="1570" t="s">
        <v>382</v>
      </c>
      <c r="D8" s="1571"/>
      <c r="E8" s="1572"/>
      <c r="F8" s="1549" t="s">
        <v>270</v>
      </c>
      <c r="G8" s="1549"/>
      <c r="H8" s="1549" t="s">
        <v>358</v>
      </c>
      <c r="I8" s="1549"/>
      <c r="J8" s="1549" t="s">
        <v>272</v>
      </c>
      <c r="K8" s="1549"/>
      <c r="L8" s="1549"/>
      <c r="M8" s="1534" t="s">
        <v>273</v>
      </c>
      <c r="N8" s="134" t="s">
        <v>274</v>
      </c>
      <c r="O8" s="30"/>
      <c r="P8" s="1570" t="s">
        <v>275</v>
      </c>
      <c r="Q8" s="1571"/>
      <c r="R8" s="1571"/>
      <c r="S8" s="1571"/>
      <c r="T8" s="1571"/>
      <c r="U8" s="1572"/>
      <c r="V8" s="1570" t="s">
        <v>277</v>
      </c>
      <c r="W8" s="1572"/>
    </row>
    <row r="9" spans="2:38" ht="43.5" thickBot="1" x14ac:dyDescent="0.25">
      <c r="B9" s="719" t="s">
        <v>340</v>
      </c>
      <c r="C9" s="132" t="s">
        <v>383</v>
      </c>
      <c r="D9" s="811" t="s">
        <v>161</v>
      </c>
      <c r="E9" s="752" t="s">
        <v>34</v>
      </c>
      <c r="F9" s="132" t="s">
        <v>270</v>
      </c>
      <c r="G9" s="752" t="s">
        <v>287</v>
      </c>
      <c r="H9" s="132" t="s">
        <v>271</v>
      </c>
      <c r="I9" s="752" t="s">
        <v>287</v>
      </c>
      <c r="J9" s="132" t="s">
        <v>272</v>
      </c>
      <c r="K9" s="811" t="s">
        <v>272</v>
      </c>
      <c r="L9" s="752" t="s">
        <v>318</v>
      </c>
      <c r="M9" s="1567"/>
      <c r="N9" s="169" t="s">
        <v>384</v>
      </c>
      <c r="P9" s="132" t="s">
        <v>385</v>
      </c>
      <c r="Q9" s="811" t="s">
        <v>386</v>
      </c>
      <c r="R9" s="811" t="s">
        <v>387</v>
      </c>
      <c r="S9" s="811" t="s">
        <v>388</v>
      </c>
      <c r="T9" s="811" t="s">
        <v>389</v>
      </c>
      <c r="U9" s="752" t="s">
        <v>295</v>
      </c>
      <c r="V9" s="170" t="s">
        <v>296</v>
      </c>
      <c r="W9" s="171" t="s">
        <v>297</v>
      </c>
      <c r="X9" s="48" t="s">
        <v>298</v>
      </c>
      <c r="AE9" s="124" t="s">
        <v>301</v>
      </c>
      <c r="AF9" s="124" t="s">
        <v>302</v>
      </c>
      <c r="AH9" s="124" t="s">
        <v>304</v>
      </c>
      <c r="AJ9" s="124" t="s">
        <v>301</v>
      </c>
      <c r="AK9" s="124" t="s">
        <v>302</v>
      </c>
      <c r="AL9" s="101" t="s">
        <v>281</v>
      </c>
    </row>
    <row r="10" spans="2:38" ht="42.75" x14ac:dyDescent="0.2">
      <c r="B10" s="104">
        <v>1</v>
      </c>
      <c r="C10" s="842" t="s">
        <v>1687</v>
      </c>
      <c r="D10" s="812" t="s">
        <v>176</v>
      </c>
      <c r="E10" s="860">
        <v>0.1474</v>
      </c>
      <c r="F10" s="815" t="str">
        <f>IF(D10="","",VLOOKUP(D10,'G-6 Hedgerow Data'!$B$2:$AG$15,2,FALSE))</f>
        <v>Low</v>
      </c>
      <c r="G10" s="790">
        <f>IF(D10="","",VLOOKUP(D10,'G-6 Hedgerow Data'!$B$2:$AG$15,3,FALSE))</f>
        <v>2</v>
      </c>
      <c r="H10" s="841" t="s">
        <v>67</v>
      </c>
      <c r="I10" s="790">
        <f>IFERROR(VLOOKUP(H10,'G-1 All Habitats'!$Z$2:$AA$9,2,FALSE),"")</f>
        <v>2</v>
      </c>
      <c r="J10" s="841" t="s">
        <v>1037</v>
      </c>
      <c r="K10" s="367" t="str">
        <f>IF(J10="","",IF(VLOOKUP(J10,'G-3 Multipliers'!$L$3:$N$6,2,FALSE)=0,"Spatial Data Missing",VLOOKUP(J10,'G-3 Multipliers'!$L$3:$N$6,2,FALSE)))</f>
        <v>Low Strategic Significance</v>
      </c>
      <c r="L10" s="792">
        <f>IF(J10="","",IF(VLOOKUP(J10,'G-3 Multipliers'!$L$3:$N$6,3,FALSE)=0,"Spatial Data Missing ⚠",VLOOKUP(J10,'G-3 Multipliers'!$L$3:$N$6,3,FALSE)))</f>
        <v>1</v>
      </c>
      <c r="M10" s="793" t="str">
        <f>IF(D10="","",VLOOKUP(D10,'G-6 Hedgerow Data'!$B$1:$AH$15,33,FALSE))</f>
        <v>Same distinctiveness band or better</v>
      </c>
      <c r="N10" s="794">
        <f>IFERROR(E10*G10*I10*L10,"")</f>
        <v>0.58960000000000001</v>
      </c>
      <c r="O10" s="32"/>
      <c r="P10" s="316">
        <v>0.1474</v>
      </c>
      <c r="Q10" s="159">
        <v>0</v>
      </c>
      <c r="R10" s="374">
        <f>IFERROR(P10*G10*I10*L10,"")</f>
        <v>0.58960000000000001</v>
      </c>
      <c r="S10" s="374">
        <f>IFERROR(Q10*G10*I10*L10,"")</f>
        <v>0</v>
      </c>
      <c r="T10" s="374">
        <f>IF(D10="","",IF(E10-P10-Q10=0&lt;0,"Error in lengths ▲",IF(P10+Q10&gt;E10,"Error in Lengths ▲",E10-P10-Q10)))</f>
        <v>0</v>
      </c>
      <c r="U10" s="405">
        <f>IF(OR(E10="",N10=""),"",IF(E10-P10-Q10=0&lt;0,"Error in Lengths ▲",IF(P10+Q10&gt;E10,"Error in Lengths ▲",N10-R10-S10)))</f>
        <v>0</v>
      </c>
      <c r="V10" s="136"/>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f t="array" ref="AK10">IFERROR(INDEX($AH$10:$AH$258, MATCH(0, IF(TRUE=$AF$10:$AF$258, COUNTIF($AK9:$AK$9, $AH$10:$AH$258), ""), 0)),"")</f>
        <v>2</v>
      </c>
      <c r="AL10" s="30" t="str">
        <f>IFERROR(INDEX('G-6 Hedgerow Data'!$BJ$3:$BJ$15,MATCH(D10,'G-6 Hedgerow Data'!$B$3:$B$15,0)),"")</f>
        <v>Hedgecond1</v>
      </c>
    </row>
    <row r="11" spans="2:38" ht="42.75" x14ac:dyDescent="0.2">
      <c r="B11" s="110">
        <v>2</v>
      </c>
      <c r="C11" s="165" t="s">
        <v>1688</v>
      </c>
      <c r="D11" s="63" t="s">
        <v>171</v>
      </c>
      <c r="E11" s="139">
        <v>0.42970000000000003</v>
      </c>
      <c r="F11" s="411" t="str">
        <f>IF(D11="","",VLOOKUP(D11,'G-6 Hedgerow Data'!$B$2:$AG$15,2,FALSE))</f>
        <v>Medium</v>
      </c>
      <c r="G11" s="363">
        <f>IF(D11="","",VLOOKUP(D11,'G-6 Hedgerow Data'!$B$2:$AG$15,3,FALSE))</f>
        <v>4</v>
      </c>
      <c r="H11" s="114" t="s">
        <v>68</v>
      </c>
      <c r="I11" s="363">
        <f>IFERROR(VLOOKUP(H11,'G-1 All Habitats'!$Z$2:$AA$9,2,FALSE),"")</f>
        <v>3</v>
      </c>
      <c r="J11" s="114" t="s">
        <v>1037</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5.1564000000000005</v>
      </c>
      <c r="O11" s="32"/>
      <c r="P11" s="582">
        <v>0.2888</v>
      </c>
      <c r="Q11" s="165">
        <v>0.1409</v>
      </c>
      <c r="R11" s="393">
        <f t="shared" ref="R11:R74" si="3">IFERROR(P11*G11*I11*L11,"")</f>
        <v>3.4656000000000002</v>
      </c>
      <c r="S11" s="393">
        <f t="shared" ref="S11:S74" si="4">IFERROR(Q11*G11*I11*L11,"")</f>
        <v>1.6907999999999999</v>
      </c>
      <c r="T11" s="393">
        <f t="shared" ref="T11:T74" si="5">IF(D11="","",IF(E11-P11-Q11=0&lt;0,"Error in lengths ▲",IF(P11+Q11&gt;E11,"Error in Lengths ▲",E11-P11-Q11)))</f>
        <v>2.7755575615628914E-17</v>
      </c>
      <c r="U11" s="415">
        <f t="shared" ref="U11:U74" si="6">IF(OR(E11="",N11=""),"",IF(E11-P11-Q11=0&lt;0,"Error in Lengths ▲",IF(P11+Q11&gt;E11,"Error in Lengths ▲",N11-R11-S11)))</f>
        <v>4.4408920985006262E-16</v>
      </c>
      <c r="V11" s="119"/>
      <c r="W11" s="120"/>
      <c r="X11" s="120"/>
      <c r="AE11" s="124" t="b">
        <f t="shared" si="0"/>
        <v>1</v>
      </c>
      <c r="AF11" s="124" t="b">
        <f t="shared" si="1"/>
        <v>1</v>
      </c>
      <c r="AH11" s="124">
        <v>2</v>
      </c>
      <c r="AJ11" s="124">
        <f t="array" ref="AJ11">IFERROR(INDEX($AH$10:$AH$258, MATCH(0, IF(TRUE=$AE$10:$AE$258, COUNTIF($AJ$9:$AJ10, $AH$10:$AH$258), ""), 0)),"")</f>
        <v>2</v>
      </c>
      <c r="AK11" s="124">
        <f t="array" ref="AK11">IFERROR(INDEX($AH$10:$AH$258, MATCH(0, IF(TRUE=$AF$10:$AF$258, COUNTIF($AK$9:$AK10, $AH$10:$AH$258), ""), 0)),"")</f>
        <v>3</v>
      </c>
      <c r="AL11" s="30" t="str">
        <f>IFERROR(INDEX('G-6 Hedgerow Data'!$BJ$3:$BJ$15,MATCH(D11,'G-6 Hedgerow Data'!$B$3:$B$15,0)),"")</f>
        <v>Hedgecond1</v>
      </c>
    </row>
    <row r="12" spans="2:38" ht="28.5" x14ac:dyDescent="0.2">
      <c r="B12" s="110">
        <v>3</v>
      </c>
      <c r="C12" s="165" t="s">
        <v>1689</v>
      </c>
      <c r="D12" s="63" t="s">
        <v>168</v>
      </c>
      <c r="E12" s="139">
        <v>0.33279999999999998</v>
      </c>
      <c r="F12" s="411" t="str">
        <f>IF(D12="","",VLOOKUP(D12,'G-6 Hedgerow Data'!$B$2:$AG$15,2,FALSE))</f>
        <v>High</v>
      </c>
      <c r="G12" s="363">
        <f>IF(D12="","",VLOOKUP(D12,'G-6 Hedgerow Data'!$B$2:$AG$15,3,FALSE))</f>
        <v>6</v>
      </c>
      <c r="H12" s="114" t="s">
        <v>68</v>
      </c>
      <c r="I12" s="363">
        <f>IFERROR(VLOOKUP(H12,'G-1 All Habitats'!$Z$2:$AA$9,2,FALSE),"")</f>
        <v>3</v>
      </c>
      <c r="J12" s="114" t="s">
        <v>1037</v>
      </c>
      <c r="K12" s="370" t="str">
        <f>IF(J12="","",IF(VLOOKUP(J12,'G-3 Multipliers'!$L$3:$N$6,2,FALSE)=0,"Spatial Data Missing",VLOOKUP(J12,'G-3 Multipliers'!$L$3:$N$6,2,FALSE)))</f>
        <v>Low Strategic Significance</v>
      </c>
      <c r="L12" s="368">
        <f>IF(J12="","",IF(VLOOKUP(J12,'G-3 Multipliers'!$L$3:$N$6,3,FALSE)=0,"Spatial Data Missing ⚠",VLOOKUP(J12,'G-3 Multipliers'!$L$3:$N$6,3,FALSE)))</f>
        <v>1</v>
      </c>
      <c r="M12" s="369" t="str">
        <f>IF(D12="","",VLOOKUP(D12,'G-6 Hedgerow Data'!$B$1:$AH$15,33,FALSE))</f>
        <v>Like for like or better</v>
      </c>
      <c r="N12" s="376">
        <f t="shared" si="2"/>
        <v>5.9903999999999993</v>
      </c>
      <c r="O12" s="32"/>
      <c r="P12" s="582">
        <v>0</v>
      </c>
      <c r="Q12" s="165">
        <v>0.33279999999999998</v>
      </c>
      <c r="R12" s="393">
        <f t="shared" si="3"/>
        <v>0</v>
      </c>
      <c r="S12" s="393">
        <f t="shared" si="4"/>
        <v>5.9903999999999993</v>
      </c>
      <c r="T12" s="393">
        <f t="shared" si="5"/>
        <v>0</v>
      </c>
      <c r="U12" s="415">
        <f t="shared" si="6"/>
        <v>0</v>
      </c>
      <c r="V12" s="119"/>
      <c r="W12" s="120"/>
      <c r="X12" s="120"/>
      <c r="AE12" s="124" t="b">
        <f t="shared" si="0"/>
        <v>0</v>
      </c>
      <c r="AF12" s="124" t="b">
        <f t="shared" si="1"/>
        <v>1</v>
      </c>
      <c r="AH12" s="124">
        <v>3</v>
      </c>
      <c r="AJ12" s="124">
        <f t="array" ref="AJ12">IFERROR(INDEX($AH$10:$AH$258, MATCH(0, IF(TRUE=$AE$10:$AE$258, COUNTIF($AJ$9:$AJ11, $AH$10:$AH$258), ""), 0)),"")</f>
        <v>4</v>
      </c>
      <c r="AK12" s="124">
        <f t="array" ref="AK12">IFERROR(INDEX($AH$10:$AH$258, MATCH(0, IF(TRUE=$AF$10:$AF$258, COUNTIF($AK$9:$AK11, $AH$10:$AH$258), ""), 0)),"")</f>
        <v>4</v>
      </c>
      <c r="AL12" s="30" t="str">
        <f>IFERROR(INDEX('G-6 Hedgerow Data'!$BJ$3:$BJ$15,MATCH(D12,'G-6 Hedgerow Data'!$B$3:$B$15,0)),"")</f>
        <v>Hedgecond1</v>
      </c>
    </row>
    <row r="13" spans="2:38" ht="42.75" x14ac:dyDescent="0.2">
      <c r="B13" s="110">
        <v>4</v>
      </c>
      <c r="C13" s="165" t="s">
        <v>1690</v>
      </c>
      <c r="D13" s="63" t="s">
        <v>176</v>
      </c>
      <c r="E13" s="139">
        <v>0.74719999999999998</v>
      </c>
      <c r="F13" s="411" t="str">
        <f>IF(D13="","",VLOOKUP(D13,'G-6 Hedgerow Data'!$B$2:$AG$15,2,FALSE))</f>
        <v>Low</v>
      </c>
      <c r="G13" s="363">
        <f>IF(D13="","",VLOOKUP(D13,'G-6 Hedgerow Data'!$B$2:$AG$15,3,FALSE))</f>
        <v>2</v>
      </c>
      <c r="H13" s="114" t="s">
        <v>68</v>
      </c>
      <c r="I13" s="363">
        <f>IFERROR(VLOOKUP(H13,'G-1 All Habitats'!$Z$2:$AA$9,2,FALSE),"")</f>
        <v>3</v>
      </c>
      <c r="J13" s="114" t="s">
        <v>1037</v>
      </c>
      <c r="K13" s="370" t="str">
        <f>IF(J13="","",IF(VLOOKUP(J13,'G-3 Multipliers'!$L$3:$N$6,2,FALSE)=0,"Spatial Data Missing",VLOOKUP(J13,'G-3 Multipliers'!$L$3:$N$6,2,FALSE)))</f>
        <v>Low Strategic Significance</v>
      </c>
      <c r="L13" s="368">
        <f>IF(J13="","",IF(VLOOKUP(J13,'G-3 Multipliers'!$L$3:$N$6,3,FALSE)=0,"Spatial Data Missing ⚠",VLOOKUP(J13,'G-3 Multipliers'!$L$3:$N$6,3,FALSE)))</f>
        <v>1</v>
      </c>
      <c r="M13" s="369" t="str">
        <f>IF(D13="","",VLOOKUP(D13,'G-6 Hedgerow Data'!$B$1:$AH$15,33,FALSE))</f>
        <v>Same distinctiveness band or better</v>
      </c>
      <c r="N13" s="376">
        <f t="shared" si="2"/>
        <v>4.4832000000000001</v>
      </c>
      <c r="O13" s="32"/>
      <c r="P13" s="582">
        <v>0.43690000000000001</v>
      </c>
      <c r="Q13" s="165">
        <v>0.29580000000000001</v>
      </c>
      <c r="R13" s="393">
        <f t="shared" si="3"/>
        <v>2.6214</v>
      </c>
      <c r="S13" s="393">
        <f t="shared" si="4"/>
        <v>1.7747999999999999</v>
      </c>
      <c r="T13" s="393">
        <f t="shared" si="5"/>
        <v>1.4499999999999957E-2</v>
      </c>
      <c r="U13" s="415">
        <f t="shared" si="6"/>
        <v>8.7000000000000188E-2</v>
      </c>
      <c r="V13" s="119" t="s">
        <v>1927</v>
      </c>
      <c r="W13" s="120"/>
      <c r="X13" s="120"/>
      <c r="AE13" s="124" t="b">
        <f t="shared" si="0"/>
        <v>1</v>
      </c>
      <c r="AF13" s="124" t="b">
        <f t="shared" si="1"/>
        <v>1</v>
      </c>
      <c r="AH13" s="124">
        <v>4</v>
      </c>
      <c r="AJ13" s="124">
        <f t="array" ref="AJ13">IFERROR(INDEX($AH$10:$AH$258, MATCH(0, IF(TRUE=$AE$10:$AE$258, COUNTIF($AJ$9:$AJ12, $AH$10:$AH$258), ""), 0)),"")</f>
        <v>5</v>
      </c>
      <c r="AK13" s="124">
        <f t="array" ref="AK13">IFERROR(INDEX($AH$10:$AH$258, MATCH(0, IF(TRUE=$AF$10:$AF$258, COUNTIF($AK$9:$AK12, $AH$10:$AH$258), ""), 0)),"")</f>
        <v>7</v>
      </c>
      <c r="AL13" s="30" t="str">
        <f>IFERROR(INDEX('G-6 Hedgerow Data'!$BJ$3:$BJ$15,MATCH(D13,'G-6 Hedgerow Data'!$B$3:$B$15,0)),"")</f>
        <v>Hedgecond1</v>
      </c>
    </row>
    <row r="14" spans="2:38" ht="42.75" x14ac:dyDescent="0.2">
      <c r="B14" s="110">
        <v>5</v>
      </c>
      <c r="C14" s="165" t="s">
        <v>1691</v>
      </c>
      <c r="D14" s="159" t="s">
        <v>176</v>
      </c>
      <c r="E14" s="53">
        <v>0.2205</v>
      </c>
      <c r="F14" s="411" t="str">
        <f>IF(D14="","",VLOOKUP(D14,'G-6 Hedgerow Data'!$B$2:$AG$15,2,FALSE))</f>
        <v>Low</v>
      </c>
      <c r="G14" s="363">
        <f>IF(D14="","",VLOOKUP(D14,'G-6 Hedgerow Data'!$B$2:$AG$15,3,FALSE))</f>
        <v>2</v>
      </c>
      <c r="H14" s="114" t="s">
        <v>68</v>
      </c>
      <c r="I14" s="363">
        <f>IFERROR(VLOOKUP(H14,'G-1 All Habitats'!$Z$2:$AA$9,2,FALSE),"")</f>
        <v>3</v>
      </c>
      <c r="J14" s="114" t="s">
        <v>1029</v>
      </c>
      <c r="K14" s="370" t="str">
        <f>IF(J14="","",IF(VLOOKUP(J14,'G-3 Multipliers'!$L$3:$N$6,2,FALSE)=0,"Spatial Data Missing",VLOOKUP(J14,'G-3 Multipliers'!$L$3:$N$6,2,FALSE)))</f>
        <v xml:space="preserve">High strategic significance </v>
      </c>
      <c r="L14" s="368">
        <f>IF(J14="","",IF(VLOOKUP(J14,'G-3 Multipliers'!$L$3:$N$6,3,FALSE)=0,"Spatial Data Missing ⚠",VLOOKUP(J14,'G-3 Multipliers'!$L$3:$N$6,3,FALSE)))</f>
        <v>1.1499999999999999</v>
      </c>
      <c r="M14" s="369" t="str">
        <f>IF(D14="","",VLOOKUP(D14,'G-6 Hedgerow Data'!$B$1:$AH$15,33,FALSE))</f>
        <v>Same distinctiveness band or better</v>
      </c>
      <c r="N14" s="376">
        <f t="shared" si="2"/>
        <v>1.5214499999999997</v>
      </c>
      <c r="O14" s="32"/>
      <c r="P14" s="582">
        <v>0.2205</v>
      </c>
      <c r="Q14" s="165">
        <v>0</v>
      </c>
      <c r="R14" s="393">
        <f t="shared" si="3"/>
        <v>1.5214499999999997</v>
      </c>
      <c r="S14" s="393">
        <f t="shared" si="4"/>
        <v>0</v>
      </c>
      <c r="T14" s="393">
        <f t="shared" si="5"/>
        <v>0</v>
      </c>
      <c r="U14" s="415">
        <f t="shared" si="6"/>
        <v>0</v>
      </c>
      <c r="V14" s="119" t="s">
        <v>1927</v>
      </c>
      <c r="W14" s="120"/>
      <c r="X14" s="120"/>
      <c r="AE14" s="124" t="b">
        <f t="shared" si="0"/>
        <v>1</v>
      </c>
      <c r="AF14" s="124" t="b">
        <f t="shared" si="1"/>
        <v>0</v>
      </c>
      <c r="AH14" s="124">
        <v>5</v>
      </c>
      <c r="AJ14" s="124">
        <f t="array" ref="AJ14">IFERROR(INDEX($AH$10:$AH$258, MATCH(0, IF(TRUE=$AE$10:$AE$258, COUNTIF($AJ$9:$AJ13, $AH$10:$AH$258), ""), 0)),"")</f>
        <v>6</v>
      </c>
      <c r="AK14" s="124">
        <f t="array" ref="AK14">IFERROR(INDEX($AH$10:$AH$258, MATCH(0, IF(TRUE=$AF$10:$AF$258, COUNTIF($AK$9:$AK13, $AH$10:$AH$258), ""), 0)),"")</f>
        <v>8</v>
      </c>
      <c r="AL14" s="30" t="str">
        <f>IFERROR(INDEX('G-6 Hedgerow Data'!$BJ$3:$BJ$15,MATCH(D14,'G-6 Hedgerow Data'!$B$3:$B$15,0)),"")</f>
        <v>Hedgecond1</v>
      </c>
    </row>
    <row r="15" spans="2:38" ht="42.75" x14ac:dyDescent="0.2">
      <c r="B15" s="110">
        <v>6</v>
      </c>
      <c r="C15" s="165" t="s">
        <v>1692</v>
      </c>
      <c r="D15" s="159" t="s">
        <v>176</v>
      </c>
      <c r="E15" s="53">
        <v>0.8014</v>
      </c>
      <c r="F15" s="411" t="str">
        <f>IF(D15="","",VLOOKUP(D15,'G-6 Hedgerow Data'!$B$2:$AG$15,2,FALSE))</f>
        <v>Low</v>
      </c>
      <c r="G15" s="363">
        <f>IF(D15="","",VLOOKUP(D15,'G-6 Hedgerow Data'!$B$2:$AG$15,3,FALSE))</f>
        <v>2</v>
      </c>
      <c r="H15" s="114" t="s">
        <v>67</v>
      </c>
      <c r="I15" s="363">
        <f>IFERROR(VLOOKUP(H15,'G-1 All Habitats'!$Z$2:$AA$9,2,FALSE),"")</f>
        <v>2</v>
      </c>
      <c r="J15" s="114" t="s">
        <v>1037</v>
      </c>
      <c r="K15" s="370" t="str">
        <f>IF(J15="","",IF(VLOOKUP(J15,'G-3 Multipliers'!$L$3:$N$6,2,FALSE)=0,"Spatial Data Missing",VLOOKUP(J15,'G-3 Multipliers'!$L$3:$N$6,2,FALSE)))</f>
        <v>Low Strategic Significance</v>
      </c>
      <c r="L15" s="368">
        <f>IF(J15="","",IF(VLOOKUP(J15,'G-3 Multipliers'!$L$3:$N$6,3,FALSE)=0,"Spatial Data Missing ⚠",VLOOKUP(J15,'G-3 Multipliers'!$L$3:$N$6,3,FALSE)))</f>
        <v>1</v>
      </c>
      <c r="M15" s="369" t="str">
        <f>IF(D15="","",VLOOKUP(D15,'G-6 Hedgerow Data'!$B$1:$AH$15,33,FALSE))</f>
        <v>Same distinctiveness band or better</v>
      </c>
      <c r="N15" s="376">
        <f t="shared" si="2"/>
        <v>3.2056</v>
      </c>
      <c r="O15" s="32"/>
      <c r="P15" s="582">
        <v>0.76270000000000004</v>
      </c>
      <c r="Q15" s="165">
        <v>0</v>
      </c>
      <c r="R15" s="393">
        <f t="shared" si="3"/>
        <v>3.0508000000000002</v>
      </c>
      <c r="S15" s="393">
        <f t="shared" si="4"/>
        <v>0</v>
      </c>
      <c r="T15" s="393">
        <f t="shared" si="5"/>
        <v>3.8699999999999957E-2</v>
      </c>
      <c r="U15" s="415">
        <f t="shared" si="6"/>
        <v>0.15479999999999983</v>
      </c>
      <c r="V15" s="119" t="s">
        <v>1928</v>
      </c>
      <c r="W15" s="120"/>
      <c r="X15" s="120"/>
      <c r="AE15" s="124" t="b">
        <f t="shared" si="0"/>
        <v>1</v>
      </c>
      <c r="AF15" s="124" t="b">
        <f t="shared" si="1"/>
        <v>0</v>
      </c>
      <c r="AH15" s="124">
        <v>6</v>
      </c>
      <c r="AJ15" s="124">
        <f t="array" ref="AJ15">IFERROR(INDEX($AH$10:$AH$258, MATCH(0, IF(TRUE=$AE$10:$AE$258, COUNTIF($AJ$9:$AJ14, $AH$10:$AH$258), ""), 0)),"")</f>
        <v>8</v>
      </c>
      <c r="AK15" s="124">
        <f t="array" ref="AK15">IFERROR(INDEX($AH$10:$AH$258, MATCH(0, IF(TRUE=$AF$10:$AF$258, COUNTIF($AK$9:$AK14, $AH$10:$AH$258), ""), 0)),"")</f>
        <v>9</v>
      </c>
      <c r="AL15" s="30" t="str">
        <f>IFERROR(INDEX('G-6 Hedgerow Data'!$BJ$3:$BJ$15,MATCH(D15,'G-6 Hedgerow Data'!$B$3:$B$15,0)),"")</f>
        <v>Hedgecond1</v>
      </c>
    </row>
    <row r="16" spans="2:38" ht="42.75" x14ac:dyDescent="0.2">
      <c r="B16" s="110">
        <v>7</v>
      </c>
      <c r="C16" s="165" t="s">
        <v>1693</v>
      </c>
      <c r="D16" s="159" t="s">
        <v>176</v>
      </c>
      <c r="E16" s="53">
        <v>0.31130000000000002</v>
      </c>
      <c r="F16" s="411" t="str">
        <f>IF(D16="","",VLOOKUP(D16,'G-6 Hedgerow Data'!$B$2:$AG$15,2,FALSE))</f>
        <v>Low</v>
      </c>
      <c r="G16" s="363">
        <f>IF(D16="","",VLOOKUP(D16,'G-6 Hedgerow Data'!$B$2:$AG$15,3,FALSE))</f>
        <v>2</v>
      </c>
      <c r="H16" s="114" t="s">
        <v>68</v>
      </c>
      <c r="I16" s="363">
        <f>IFERROR(VLOOKUP(H16,'G-1 All Habitats'!$Z$2:$AA$9,2,FALSE),"")</f>
        <v>3</v>
      </c>
      <c r="J16" s="114" t="s">
        <v>1037</v>
      </c>
      <c r="K16" s="370" t="str">
        <f>IF(J16="","",IF(VLOOKUP(J16,'G-3 Multipliers'!$L$3:$N$6,2,FALSE)=0,"Spatial Data Missing",VLOOKUP(J16,'G-3 Multipliers'!$L$3:$N$6,2,FALSE)))</f>
        <v>Low Strategic Significance</v>
      </c>
      <c r="L16" s="368">
        <f>IF(J16="","",IF(VLOOKUP(J16,'G-3 Multipliers'!$L$3:$N$6,3,FALSE)=0,"Spatial Data Missing ⚠",VLOOKUP(J16,'G-3 Multipliers'!$L$3:$N$6,3,FALSE)))</f>
        <v>1</v>
      </c>
      <c r="M16" s="369" t="str">
        <f>IF(D16="","",VLOOKUP(D16,'G-6 Hedgerow Data'!$B$1:$AH$15,33,FALSE))</f>
        <v>Same distinctiveness band or better</v>
      </c>
      <c r="N16" s="376">
        <f t="shared" si="2"/>
        <v>1.8678000000000001</v>
      </c>
      <c r="O16" s="32"/>
      <c r="P16" s="582">
        <v>0</v>
      </c>
      <c r="Q16" s="165">
        <v>0.31130000000000002</v>
      </c>
      <c r="R16" s="393">
        <f t="shared" si="3"/>
        <v>0</v>
      </c>
      <c r="S16" s="393">
        <f t="shared" si="4"/>
        <v>1.8678000000000001</v>
      </c>
      <c r="T16" s="393">
        <f t="shared" si="5"/>
        <v>0</v>
      </c>
      <c r="U16" s="415">
        <f t="shared" si="6"/>
        <v>0</v>
      </c>
      <c r="V16" s="119"/>
      <c r="W16" s="120"/>
      <c r="X16" s="120"/>
      <c r="AE16" s="124" t="b">
        <f t="shared" si="0"/>
        <v>0</v>
      </c>
      <c r="AF16" s="124" t="b">
        <f t="shared" si="1"/>
        <v>1</v>
      </c>
      <c r="AH16" s="124">
        <v>7</v>
      </c>
      <c r="AJ16" s="124">
        <f t="array" ref="AJ16">IFERROR(INDEX($AH$10:$AH$258, MATCH(0, IF(TRUE=$AE$10:$AE$258, COUNTIF($AJ$9:$AJ15, $AH$10:$AH$258), ""), 0)),"")</f>
        <v>9</v>
      </c>
      <c r="AK16" s="124">
        <f t="array" ref="AK16">IFERROR(INDEX($AH$10:$AH$258, MATCH(0, IF(TRUE=$AF$10:$AF$258, COUNTIF($AK$9:$AK15, $AH$10:$AH$258), ""), 0)),"")</f>
        <v>10</v>
      </c>
      <c r="AL16" s="30" t="str">
        <f>IFERROR(INDEX('G-6 Hedgerow Data'!$BJ$3:$BJ$15,MATCH(D16,'G-6 Hedgerow Data'!$B$3:$B$15,0)),"")</f>
        <v>Hedgecond1</v>
      </c>
    </row>
    <row r="17" spans="2:38" ht="42.75" x14ac:dyDescent="0.2">
      <c r="B17" s="110">
        <v>8</v>
      </c>
      <c r="C17" s="165" t="s">
        <v>1694</v>
      </c>
      <c r="D17" s="159" t="s">
        <v>176</v>
      </c>
      <c r="E17" s="53">
        <v>0.80589999999999995</v>
      </c>
      <c r="F17" s="411" t="str">
        <f>IF(D17="","",VLOOKUP(D17,'G-6 Hedgerow Data'!$B$2:$AG$15,2,FALSE))</f>
        <v>Low</v>
      </c>
      <c r="G17" s="363">
        <f>IF(D17="","",VLOOKUP(D17,'G-6 Hedgerow Data'!$B$2:$AG$15,3,FALSE))</f>
        <v>2</v>
      </c>
      <c r="H17" s="114" t="s">
        <v>68</v>
      </c>
      <c r="I17" s="363">
        <f>IFERROR(VLOOKUP(H17,'G-1 All Habitats'!$Z$2:$AA$9,2,FALSE),"")</f>
        <v>3</v>
      </c>
      <c r="J17" s="114" t="s">
        <v>1037</v>
      </c>
      <c r="K17" s="370" t="str">
        <f>IF(J17="","",IF(VLOOKUP(J17,'G-3 Multipliers'!$L$3:$N$6,2,FALSE)=0,"Spatial Data Missing",VLOOKUP(J17,'G-3 Multipliers'!$L$3:$N$6,2,FALSE)))</f>
        <v>Low Strategic Significance</v>
      </c>
      <c r="L17" s="368">
        <f>IF(J17="","",IF(VLOOKUP(J17,'G-3 Multipliers'!$L$3:$N$6,3,FALSE)=0,"Spatial Data Missing ⚠",VLOOKUP(J17,'G-3 Multipliers'!$L$3:$N$6,3,FALSE)))</f>
        <v>1</v>
      </c>
      <c r="M17" s="369" t="str">
        <f>IF(D17="","",VLOOKUP(D17,'G-6 Hedgerow Data'!$B$1:$AH$15,33,FALSE))</f>
        <v>Same distinctiveness band or better</v>
      </c>
      <c r="N17" s="376">
        <f t="shared" si="2"/>
        <v>4.8353999999999999</v>
      </c>
      <c r="O17" s="32"/>
      <c r="P17" s="582">
        <v>0.14680000000000001</v>
      </c>
      <c r="Q17" s="165">
        <v>0.65910000000000002</v>
      </c>
      <c r="R17" s="393">
        <f t="shared" si="3"/>
        <v>0.88080000000000003</v>
      </c>
      <c r="S17" s="393">
        <f t="shared" si="4"/>
        <v>3.9546000000000001</v>
      </c>
      <c r="T17" s="393">
        <f t="shared" si="5"/>
        <v>-1.1102230246251565E-16</v>
      </c>
      <c r="U17" s="415">
        <f t="shared" si="6"/>
        <v>0</v>
      </c>
      <c r="V17" s="119"/>
      <c r="W17" s="120"/>
      <c r="X17" s="120"/>
      <c r="AE17" s="124" t="b">
        <f t="shared" si="0"/>
        <v>1</v>
      </c>
      <c r="AF17" s="124" t="b">
        <f t="shared" si="1"/>
        <v>1</v>
      </c>
      <c r="AH17" s="124">
        <v>8</v>
      </c>
      <c r="AJ17" s="124">
        <f t="array" ref="AJ17">IFERROR(INDEX($AH$10:$AH$258, MATCH(0, IF(TRUE=$AE$10:$AE$258, COUNTIF($AJ$9:$AJ16, $AH$10:$AH$258), ""), 0)),"")</f>
        <v>10</v>
      </c>
      <c r="AK17" s="124">
        <f t="array" ref="AK17">IFERROR(INDEX($AH$10:$AH$258, MATCH(0, IF(TRUE=$AF$10:$AF$258, COUNTIF($AK$9:$AK16, $AH$10:$AH$258), ""), 0)),"")</f>
        <v>12</v>
      </c>
      <c r="AL17" s="30" t="str">
        <f>IFERROR(INDEX('G-6 Hedgerow Data'!$BJ$3:$BJ$15,MATCH(D17,'G-6 Hedgerow Data'!$B$3:$B$15,0)),"")</f>
        <v>Hedgecond1</v>
      </c>
    </row>
    <row r="18" spans="2:38" ht="42.75" x14ac:dyDescent="0.2">
      <c r="B18" s="110">
        <v>9</v>
      </c>
      <c r="C18" s="165" t="s">
        <v>1695</v>
      </c>
      <c r="D18" s="159" t="s">
        <v>176</v>
      </c>
      <c r="E18" s="139">
        <v>0.59399999999999997</v>
      </c>
      <c r="F18" s="411" t="str">
        <f>IF(D18="","",VLOOKUP(D18,'G-6 Hedgerow Data'!$B$2:$AG$15,2,FALSE))</f>
        <v>Low</v>
      </c>
      <c r="G18" s="363">
        <f>IF(D18="","",VLOOKUP(D18,'G-6 Hedgerow Data'!$B$2:$AG$15,3,FALSE))</f>
        <v>2</v>
      </c>
      <c r="H18" s="114" t="s">
        <v>68</v>
      </c>
      <c r="I18" s="363">
        <f>IFERROR(VLOOKUP(H18,'G-1 All Habitats'!$Z$2:$AA$9,2,FALSE),"")</f>
        <v>3</v>
      </c>
      <c r="J18" s="114" t="s">
        <v>1037</v>
      </c>
      <c r="K18" s="370" t="str">
        <f>IF(J18="","",IF(VLOOKUP(J18,'G-3 Multipliers'!$L$3:$N$6,2,FALSE)=0,"Spatial Data Missing",VLOOKUP(J18,'G-3 Multipliers'!$L$3:$N$6,2,FALSE)))</f>
        <v>Low Strategic Significance</v>
      </c>
      <c r="L18" s="368">
        <f>IF(J18="","",IF(VLOOKUP(J18,'G-3 Multipliers'!$L$3:$N$6,3,FALSE)=0,"Spatial Data Missing ⚠",VLOOKUP(J18,'G-3 Multipliers'!$L$3:$N$6,3,FALSE)))</f>
        <v>1</v>
      </c>
      <c r="M18" s="369" t="str">
        <f>IF(D18="","",VLOOKUP(D18,'G-6 Hedgerow Data'!$B$1:$AH$15,33,FALSE))</f>
        <v>Same distinctiveness band or better</v>
      </c>
      <c r="N18" s="376">
        <f t="shared" si="2"/>
        <v>3.5640000000000001</v>
      </c>
      <c r="O18" s="32"/>
      <c r="P18" s="582">
        <v>4.5400000000000003E-2</v>
      </c>
      <c r="Q18" s="165">
        <v>0.54859999999999998</v>
      </c>
      <c r="R18" s="393">
        <f t="shared" si="3"/>
        <v>0.27240000000000003</v>
      </c>
      <c r="S18" s="393">
        <f t="shared" si="4"/>
        <v>3.2915999999999999</v>
      </c>
      <c r="T18" s="393">
        <f t="shared" si="5"/>
        <v>0</v>
      </c>
      <c r="U18" s="415">
        <f t="shared" si="6"/>
        <v>0</v>
      </c>
      <c r="V18" s="119"/>
      <c r="W18" s="120"/>
      <c r="X18" s="120"/>
      <c r="AE18" s="124" t="b">
        <f t="shared" si="0"/>
        <v>1</v>
      </c>
      <c r="AF18" s="124" t="b">
        <f t="shared" si="1"/>
        <v>1</v>
      </c>
      <c r="AH18" s="124">
        <v>9</v>
      </c>
      <c r="AJ18" s="124">
        <f t="array" ref="AJ18">IFERROR(INDEX($AH$10:$AH$258, MATCH(0, IF(TRUE=$AE$10:$AE$258, COUNTIF($AJ$9:$AJ17, $AH$10:$AH$258), ""), 0)),"")</f>
        <v>11</v>
      </c>
      <c r="AK18" s="124">
        <f t="array" ref="AK18">IFERROR(INDEX($AH$10:$AH$258, MATCH(0, IF(TRUE=$AF$10:$AF$258, COUNTIF($AK$9:$AK17, $AH$10:$AH$258), ""), 0)),"")</f>
        <v>13</v>
      </c>
      <c r="AL18" s="30" t="str">
        <f>IFERROR(INDEX('G-6 Hedgerow Data'!$BJ$3:$BJ$15,MATCH(D18,'G-6 Hedgerow Data'!$B$3:$B$15,0)),"")</f>
        <v>Hedgecond1</v>
      </c>
    </row>
    <row r="19" spans="2:38" ht="42.75" x14ac:dyDescent="0.2">
      <c r="B19" s="110">
        <v>10</v>
      </c>
      <c r="C19" s="165" t="s">
        <v>1696</v>
      </c>
      <c r="D19" s="159" t="s">
        <v>176</v>
      </c>
      <c r="E19" s="139">
        <v>0.216</v>
      </c>
      <c r="F19" s="411" t="str">
        <f>IF(D19="","",VLOOKUP(D19,'G-6 Hedgerow Data'!$B$2:$AG$15,2,FALSE))</f>
        <v>Low</v>
      </c>
      <c r="G19" s="363">
        <f>IF(D19="","",VLOOKUP(D19,'G-6 Hedgerow Data'!$B$2:$AG$15,3,FALSE))</f>
        <v>2</v>
      </c>
      <c r="H19" s="114" t="s">
        <v>68</v>
      </c>
      <c r="I19" s="363">
        <f>IFERROR(VLOOKUP(H19,'G-1 All Habitats'!$Z$2:$AA$9,2,FALSE),"")</f>
        <v>3</v>
      </c>
      <c r="J19" s="114" t="s">
        <v>1029</v>
      </c>
      <c r="K19" s="370" t="str">
        <f>IF(J19="","",IF(VLOOKUP(J19,'G-3 Multipliers'!$L$3:$N$6,2,FALSE)=0,"Spatial Data Missing",VLOOKUP(J19,'G-3 Multipliers'!$L$3:$N$6,2,FALSE)))</f>
        <v xml:space="preserve">High strategic significance </v>
      </c>
      <c r="L19" s="368">
        <f>IF(J19="","",IF(VLOOKUP(J19,'G-3 Multipliers'!$L$3:$N$6,3,FALSE)=0,"Spatial Data Missing ⚠",VLOOKUP(J19,'G-3 Multipliers'!$L$3:$N$6,3,FALSE)))</f>
        <v>1.1499999999999999</v>
      </c>
      <c r="M19" s="369" t="str">
        <f>IF(D19="","",VLOOKUP(D19,'G-6 Hedgerow Data'!$B$1:$AH$15,33,FALSE))</f>
        <v>Same distinctiveness band or better</v>
      </c>
      <c r="N19" s="376">
        <f t="shared" si="2"/>
        <v>1.4903999999999999</v>
      </c>
      <c r="O19" s="32"/>
      <c r="P19" s="582">
        <v>0.192</v>
      </c>
      <c r="Q19" s="165">
        <v>2.4E-2</v>
      </c>
      <c r="R19" s="393">
        <f t="shared" si="3"/>
        <v>1.3248</v>
      </c>
      <c r="S19" s="393">
        <f t="shared" si="4"/>
        <v>0.1656</v>
      </c>
      <c r="T19" s="393">
        <f t="shared" si="5"/>
        <v>-6.9388939039072284E-18</v>
      </c>
      <c r="U19" s="415">
        <f t="shared" si="6"/>
        <v>-2.7755575615628914E-17</v>
      </c>
      <c r="V19" s="119"/>
      <c r="W19" s="120"/>
      <c r="X19" s="120"/>
      <c r="AE19" s="124" t="b">
        <f t="shared" si="0"/>
        <v>1</v>
      </c>
      <c r="AF19" s="124" t="b">
        <f t="shared" si="1"/>
        <v>1</v>
      </c>
      <c r="AH19" s="124">
        <v>10</v>
      </c>
      <c r="AJ19" s="124">
        <f t="array" ref="AJ19">IFERROR(INDEX($AH$10:$AH$258, MATCH(0, IF(TRUE=$AE$10:$AE$258, COUNTIF($AJ$9:$AJ18, $AH$10:$AH$258), ""), 0)),"")</f>
        <v>14</v>
      </c>
      <c r="AK19" s="124">
        <f t="array" ref="AK19">IFERROR(INDEX($AH$10:$AH$258, MATCH(0, IF(TRUE=$AF$10:$AF$258, COUNTIF($AK$9:$AK18, $AH$10:$AH$258), ""), 0)),"")</f>
        <v>14</v>
      </c>
      <c r="AL19" s="30" t="str">
        <f>IFERROR(INDEX('G-6 Hedgerow Data'!$BJ$3:$BJ$15,MATCH(D19,'G-6 Hedgerow Data'!$B$3:$B$15,0)),"")</f>
        <v>Hedgecond1</v>
      </c>
    </row>
    <row r="20" spans="2:38" ht="28.5" x14ac:dyDescent="0.2">
      <c r="B20" s="110">
        <v>11</v>
      </c>
      <c r="C20" s="165" t="s">
        <v>1697</v>
      </c>
      <c r="D20" s="159" t="s">
        <v>168</v>
      </c>
      <c r="E20" s="139">
        <v>0.59289999999999998</v>
      </c>
      <c r="F20" s="411" t="str">
        <f>IF(D20="","",VLOOKUP(D20,'G-6 Hedgerow Data'!$B$2:$AG$15,2,FALSE))</f>
        <v>High</v>
      </c>
      <c r="G20" s="363">
        <f>IF(D20="","",VLOOKUP(D20,'G-6 Hedgerow Data'!$B$2:$AG$15,3,FALSE))</f>
        <v>6</v>
      </c>
      <c r="H20" s="114" t="s">
        <v>68</v>
      </c>
      <c r="I20" s="363">
        <f>IFERROR(VLOOKUP(H20,'G-1 All Habitats'!$Z$2:$AA$9,2,FALSE),"")</f>
        <v>3</v>
      </c>
      <c r="J20" s="114" t="s">
        <v>1037</v>
      </c>
      <c r="K20" s="370" t="str">
        <f>IF(J20="","",IF(VLOOKUP(J20,'G-3 Multipliers'!$L$3:$N$6,2,FALSE)=0,"Spatial Data Missing",VLOOKUP(J20,'G-3 Multipliers'!$L$3:$N$6,2,FALSE)))</f>
        <v>Low Strategic Significance</v>
      </c>
      <c r="L20" s="368">
        <f>IF(J20="","",IF(VLOOKUP(J20,'G-3 Multipliers'!$L$3:$N$6,3,FALSE)=0,"Spatial Data Missing ⚠",VLOOKUP(J20,'G-3 Multipliers'!$L$3:$N$6,3,FALSE)))</f>
        <v>1</v>
      </c>
      <c r="M20" s="369" t="str">
        <f>IF(D20="","",VLOOKUP(D20,'G-6 Hedgerow Data'!$B$1:$AH$15,33,FALSE))</f>
        <v>Like for like or better</v>
      </c>
      <c r="N20" s="376">
        <f t="shared" si="2"/>
        <v>10.6722</v>
      </c>
      <c r="O20" s="32"/>
      <c r="P20" s="582">
        <v>0.59289999999999998</v>
      </c>
      <c r="Q20" s="165">
        <v>0</v>
      </c>
      <c r="R20" s="393">
        <f t="shared" si="3"/>
        <v>10.6722</v>
      </c>
      <c r="S20" s="393">
        <f t="shared" si="4"/>
        <v>0</v>
      </c>
      <c r="T20" s="393">
        <f t="shared" si="5"/>
        <v>0</v>
      </c>
      <c r="U20" s="415">
        <f t="shared" si="6"/>
        <v>0</v>
      </c>
      <c r="V20" s="119"/>
      <c r="W20" s="120"/>
      <c r="X20" s="120"/>
      <c r="AE20" s="124" t="b">
        <f t="shared" si="0"/>
        <v>1</v>
      </c>
      <c r="AF20" s="124" t="b">
        <f t="shared" si="1"/>
        <v>0</v>
      </c>
      <c r="AH20" s="124">
        <v>11</v>
      </c>
      <c r="AJ20" s="124">
        <f t="array" ref="AJ20">IFERROR(INDEX($AH$10:$AH$258, MATCH(0, IF(TRUE=$AE$10:$AE$258, COUNTIF($AJ$9:$AJ19, $AH$10:$AH$258), ""), 0)),"")</f>
        <v>15</v>
      </c>
      <c r="AK20" s="124">
        <f t="array" ref="AK20">IFERROR(INDEX($AH$10:$AH$258, MATCH(0, IF(TRUE=$AF$10:$AF$258, COUNTIF($AK$9:$AK19, $AH$10:$AH$258), ""), 0)),"")</f>
        <v>15</v>
      </c>
      <c r="AL20" s="30" t="str">
        <f>IFERROR(INDEX('G-6 Hedgerow Data'!$BJ$3:$BJ$15,MATCH(D20,'G-6 Hedgerow Data'!$B$3:$B$15,0)),"")</f>
        <v>Hedgecond1</v>
      </c>
    </row>
    <row r="21" spans="2:38" ht="42.75" x14ac:dyDescent="0.2">
      <c r="B21" s="110">
        <v>12</v>
      </c>
      <c r="C21" s="165" t="s">
        <v>1698</v>
      </c>
      <c r="D21" s="159" t="s">
        <v>176</v>
      </c>
      <c r="E21" s="139">
        <v>0.33150000000000002</v>
      </c>
      <c r="F21" s="411" t="str">
        <f>IF(D21="","",VLOOKUP(D21,'G-6 Hedgerow Data'!$B$2:$AG$15,2,FALSE))</f>
        <v>Low</v>
      </c>
      <c r="G21" s="363">
        <f>IF(D21="","",VLOOKUP(D21,'G-6 Hedgerow Data'!$B$2:$AG$15,3,FALSE))</f>
        <v>2</v>
      </c>
      <c r="H21" s="114" t="s">
        <v>67</v>
      </c>
      <c r="I21" s="363">
        <f>IFERROR(VLOOKUP(H21,'G-1 All Habitats'!$Z$2:$AA$9,2,FALSE),"")</f>
        <v>2</v>
      </c>
      <c r="J21" s="114" t="s">
        <v>1037</v>
      </c>
      <c r="K21" s="370" t="str">
        <f>IF(J21="","",IF(VLOOKUP(J21,'G-3 Multipliers'!$L$3:$N$6,2,FALSE)=0,"Spatial Data Missing",VLOOKUP(J21,'G-3 Multipliers'!$L$3:$N$6,2,FALSE)))</f>
        <v>Low Strategic Significance</v>
      </c>
      <c r="L21" s="368">
        <f>IF(J21="","",IF(VLOOKUP(J21,'G-3 Multipliers'!$L$3:$N$6,3,FALSE)=0,"Spatial Data Missing ⚠",VLOOKUP(J21,'G-3 Multipliers'!$L$3:$N$6,3,FALSE)))</f>
        <v>1</v>
      </c>
      <c r="M21" s="369" t="str">
        <f>IF(D21="","",VLOOKUP(D21,'G-6 Hedgerow Data'!$B$1:$AH$15,33,FALSE))</f>
        <v>Same distinctiveness band or better</v>
      </c>
      <c r="N21" s="376">
        <f t="shared" si="2"/>
        <v>1.3260000000000001</v>
      </c>
      <c r="O21" s="32"/>
      <c r="P21" s="582">
        <v>0</v>
      </c>
      <c r="Q21" s="165">
        <v>0.33150000000000002</v>
      </c>
      <c r="R21" s="393">
        <f t="shared" si="3"/>
        <v>0</v>
      </c>
      <c r="S21" s="393">
        <f t="shared" si="4"/>
        <v>1.3260000000000001</v>
      </c>
      <c r="T21" s="393">
        <f t="shared" si="5"/>
        <v>0</v>
      </c>
      <c r="U21" s="415">
        <f t="shared" si="6"/>
        <v>0</v>
      </c>
      <c r="V21" s="119"/>
      <c r="W21" s="120"/>
      <c r="X21" s="120"/>
      <c r="AE21" s="124" t="b">
        <f t="shared" si="0"/>
        <v>0</v>
      </c>
      <c r="AF21" s="124" t="b">
        <f t="shared" si="1"/>
        <v>1</v>
      </c>
      <c r="AH21" s="124">
        <v>12</v>
      </c>
      <c r="AJ21" s="124">
        <f t="array" ref="AJ21">IFERROR(INDEX($AH$10:$AH$258, MATCH(0, IF(TRUE=$AE$10:$AE$258, COUNTIF($AJ$9:$AJ20, $AH$10:$AH$258), ""), 0)),"")</f>
        <v>17</v>
      </c>
      <c r="AK21" s="124">
        <f t="array" ref="AK21">IFERROR(INDEX($AH$10:$AH$258, MATCH(0, IF(TRUE=$AF$10:$AF$258, COUNTIF($AK$9:$AK20, $AH$10:$AH$258), ""), 0)),"")</f>
        <v>16</v>
      </c>
      <c r="AL21" s="30" t="str">
        <f>IFERROR(INDEX('G-6 Hedgerow Data'!$BJ$3:$BJ$15,MATCH(D21,'G-6 Hedgerow Data'!$B$3:$B$15,0)),"")</f>
        <v>Hedgecond1</v>
      </c>
    </row>
    <row r="22" spans="2:38" ht="42.75" x14ac:dyDescent="0.2">
      <c r="B22" s="110">
        <v>13</v>
      </c>
      <c r="C22" s="165" t="s">
        <v>1699</v>
      </c>
      <c r="D22" s="159" t="s">
        <v>173</v>
      </c>
      <c r="E22" s="139">
        <v>5.0099999999999999E-2</v>
      </c>
      <c r="F22" s="411" t="str">
        <f>IF(D22="","",VLOOKUP(D22,'G-6 Hedgerow Data'!$B$2:$AG$15,2,FALSE))</f>
        <v>Medium</v>
      </c>
      <c r="G22" s="363">
        <f>IF(D22="","",VLOOKUP(D22,'G-6 Hedgerow Data'!$B$2:$AG$15,3,FALSE))</f>
        <v>4</v>
      </c>
      <c r="H22" s="114" t="s">
        <v>67</v>
      </c>
      <c r="I22" s="363">
        <f>IFERROR(VLOOKUP(H22,'G-1 All Habitats'!$Z$2:$AA$9,2,FALSE),"")</f>
        <v>2</v>
      </c>
      <c r="J22" s="114" t="s">
        <v>1037</v>
      </c>
      <c r="K22" s="370" t="str">
        <f>IF(J22="","",IF(VLOOKUP(J22,'G-3 Multipliers'!$L$3:$N$6,2,FALSE)=0,"Spatial Data Missing",VLOOKUP(J22,'G-3 Multipliers'!$L$3:$N$6,2,FALSE)))</f>
        <v>Low Strategic Significance</v>
      </c>
      <c r="L22" s="368">
        <f>IF(J22="","",IF(VLOOKUP(J22,'G-3 Multipliers'!$L$3:$N$6,3,FALSE)=0,"Spatial Data Missing ⚠",VLOOKUP(J22,'G-3 Multipliers'!$L$3:$N$6,3,FALSE)))</f>
        <v>1</v>
      </c>
      <c r="M22" s="369" t="str">
        <f>IF(D22="","",VLOOKUP(D22,'G-6 Hedgerow Data'!$B$1:$AH$15,33,FALSE))</f>
        <v>Same distinctiveness band or better</v>
      </c>
      <c r="N22" s="376">
        <f t="shared" si="2"/>
        <v>0.40079999999999999</v>
      </c>
      <c r="O22" s="32"/>
      <c r="P22" s="582">
        <v>0</v>
      </c>
      <c r="Q22" s="165">
        <v>5.0099999999999999E-2</v>
      </c>
      <c r="R22" s="393">
        <f t="shared" si="3"/>
        <v>0</v>
      </c>
      <c r="S22" s="393">
        <f t="shared" si="4"/>
        <v>0.40079999999999999</v>
      </c>
      <c r="T22" s="393">
        <f t="shared" si="5"/>
        <v>0</v>
      </c>
      <c r="U22" s="415">
        <f t="shared" si="6"/>
        <v>0</v>
      </c>
      <c r="V22" s="119"/>
      <c r="W22" s="120"/>
      <c r="X22" s="120"/>
      <c r="AE22" s="124" t="b">
        <f t="shared" si="0"/>
        <v>0</v>
      </c>
      <c r="AF22" s="124" t="b">
        <f t="shared" si="1"/>
        <v>1</v>
      </c>
      <c r="AH22" s="124">
        <v>13</v>
      </c>
      <c r="AJ22" s="124">
        <f t="array" ref="AJ22">IFERROR(INDEX($AH$10:$AH$258, MATCH(0, IF(TRUE=$AE$10:$AE$258, COUNTIF($AJ$9:$AJ21, $AH$10:$AH$258), ""), 0)),"")</f>
        <v>18</v>
      </c>
      <c r="AK22" s="124">
        <f t="array" ref="AK22">IFERROR(INDEX($AH$10:$AH$258, MATCH(0, IF(TRUE=$AF$10:$AF$258, COUNTIF($AK$9:$AK21, $AH$10:$AH$258), ""), 0)),"")</f>
        <v>19</v>
      </c>
      <c r="AL22" s="30" t="str">
        <f>IFERROR(INDEX('G-6 Hedgerow Data'!$BJ$3:$BJ$15,MATCH(D22,'G-6 Hedgerow Data'!$B$3:$B$15,0)),"")</f>
        <v>Hedgecond1</v>
      </c>
    </row>
    <row r="23" spans="2:38" ht="42.75" x14ac:dyDescent="0.2">
      <c r="B23" s="110">
        <v>14</v>
      </c>
      <c r="C23" s="165" t="s">
        <v>1700</v>
      </c>
      <c r="D23" s="63" t="s">
        <v>171</v>
      </c>
      <c r="E23" s="139">
        <v>0.33510000000000001</v>
      </c>
      <c r="F23" s="411" t="str">
        <f>IF(D23="","",VLOOKUP(D23,'G-6 Hedgerow Data'!$B$2:$AG$15,2,FALSE))</f>
        <v>Medium</v>
      </c>
      <c r="G23" s="363">
        <f>IF(D23="","",VLOOKUP(D23,'G-6 Hedgerow Data'!$B$2:$AG$15,3,FALSE))</f>
        <v>4</v>
      </c>
      <c r="H23" s="114" t="s">
        <v>67</v>
      </c>
      <c r="I23" s="363">
        <f>IFERROR(VLOOKUP(H23,'G-1 All Habitats'!$Z$2:$AA$9,2,FALSE),"")</f>
        <v>2</v>
      </c>
      <c r="J23" s="114" t="s">
        <v>1037</v>
      </c>
      <c r="K23" s="370" t="str">
        <f>IF(J23="","",IF(VLOOKUP(J23,'G-3 Multipliers'!$L$3:$N$6,2,FALSE)=0,"Spatial Data Missing",VLOOKUP(J23,'G-3 Multipliers'!$L$3:$N$6,2,FALSE)))</f>
        <v>Low Strategic Significance</v>
      </c>
      <c r="L23" s="368">
        <f>IF(J23="","",IF(VLOOKUP(J23,'G-3 Multipliers'!$L$3:$N$6,3,FALSE)=0,"Spatial Data Missing ⚠",VLOOKUP(J23,'G-3 Multipliers'!$L$3:$N$6,3,FALSE)))</f>
        <v>1</v>
      </c>
      <c r="M23" s="369" t="str">
        <f>IF(D23="","",VLOOKUP(D23,'G-6 Hedgerow Data'!$B$1:$AH$15,33,FALSE))</f>
        <v>Same distinctiveness band or better</v>
      </c>
      <c r="N23" s="376">
        <f t="shared" si="2"/>
        <v>2.6808000000000001</v>
      </c>
      <c r="O23" s="32"/>
      <c r="P23" s="582">
        <v>6.7699999999999996E-2</v>
      </c>
      <c r="Q23" s="165">
        <v>0.25190000000000001</v>
      </c>
      <c r="R23" s="393">
        <f t="shared" si="3"/>
        <v>0.54159999999999997</v>
      </c>
      <c r="S23" s="393">
        <f t="shared" si="4"/>
        <v>2.0152000000000001</v>
      </c>
      <c r="T23" s="393">
        <f t="shared" si="5"/>
        <v>1.5500000000000014E-2</v>
      </c>
      <c r="U23" s="415">
        <f t="shared" si="6"/>
        <v>0.12400000000000011</v>
      </c>
      <c r="V23" s="119" t="s">
        <v>1929</v>
      </c>
      <c r="W23" s="120"/>
      <c r="X23" s="120"/>
      <c r="AE23" s="124" t="b">
        <f t="shared" si="0"/>
        <v>1</v>
      </c>
      <c r="AF23" s="124" t="b">
        <f t="shared" si="1"/>
        <v>1</v>
      </c>
      <c r="AH23" s="124">
        <v>14</v>
      </c>
      <c r="AJ23" s="124">
        <f t="array" ref="AJ23">IFERROR(INDEX($AH$10:$AH$258, MATCH(0, IF(TRUE=$AE$10:$AE$258, COUNTIF($AJ$9:$AJ22, $AH$10:$AH$258), ""), 0)),"")</f>
        <v>19</v>
      </c>
      <c r="AK23" s="124">
        <f t="array" ref="AK23">IFERROR(INDEX($AH$10:$AH$258, MATCH(0, IF(TRUE=$AF$10:$AF$258, COUNTIF($AK$9:$AK22, $AH$10:$AH$258), ""), 0)),"")</f>
        <v>23</v>
      </c>
      <c r="AL23" s="30" t="str">
        <f>IFERROR(INDEX('G-6 Hedgerow Data'!$BJ$3:$BJ$15,MATCH(D23,'G-6 Hedgerow Data'!$B$3:$B$15,0)),"")</f>
        <v>Hedgecond1</v>
      </c>
    </row>
    <row r="24" spans="2:38" ht="42.75" x14ac:dyDescent="0.2">
      <c r="B24" s="110">
        <v>15</v>
      </c>
      <c r="C24" s="165" t="s">
        <v>1701</v>
      </c>
      <c r="D24" s="63" t="s">
        <v>171</v>
      </c>
      <c r="E24" s="139">
        <v>0.2261</v>
      </c>
      <c r="F24" s="411" t="str">
        <f>IF(D24="","",VLOOKUP(D24,'G-6 Hedgerow Data'!$B$2:$AG$15,2,FALSE))</f>
        <v>Medium</v>
      </c>
      <c r="G24" s="363">
        <f>IF(D24="","",VLOOKUP(D24,'G-6 Hedgerow Data'!$B$2:$AG$15,3,FALSE))</f>
        <v>4</v>
      </c>
      <c r="H24" s="114" t="s">
        <v>68</v>
      </c>
      <c r="I24" s="363">
        <f>IFERROR(VLOOKUP(H24,'G-1 All Habitats'!$Z$2:$AA$9,2,FALSE),"")</f>
        <v>3</v>
      </c>
      <c r="J24" s="114" t="s">
        <v>1037</v>
      </c>
      <c r="K24" s="370" t="str">
        <f>IF(J24="","",IF(VLOOKUP(J24,'G-3 Multipliers'!$L$3:$N$6,2,FALSE)=0,"Spatial Data Missing",VLOOKUP(J24,'G-3 Multipliers'!$L$3:$N$6,2,FALSE)))</f>
        <v>Low Strategic Significance</v>
      </c>
      <c r="L24" s="368">
        <f>IF(J24="","",IF(VLOOKUP(J24,'G-3 Multipliers'!$L$3:$N$6,3,FALSE)=0,"Spatial Data Missing ⚠",VLOOKUP(J24,'G-3 Multipliers'!$L$3:$N$6,3,FALSE)))</f>
        <v>1</v>
      </c>
      <c r="M24" s="369" t="str">
        <f>IF(D24="","",VLOOKUP(D24,'G-6 Hedgerow Data'!$B$1:$AH$15,33,FALSE))</f>
        <v>Same distinctiveness band or better</v>
      </c>
      <c r="N24" s="376">
        <f t="shared" si="2"/>
        <v>2.7132000000000001</v>
      </c>
      <c r="O24" s="32"/>
      <c r="P24" s="582">
        <v>1E-4</v>
      </c>
      <c r="Q24" s="165">
        <v>0.221</v>
      </c>
      <c r="R24" s="393">
        <f t="shared" si="3"/>
        <v>1.2000000000000001E-3</v>
      </c>
      <c r="S24" s="393">
        <f t="shared" si="4"/>
        <v>2.6520000000000001</v>
      </c>
      <c r="T24" s="393">
        <f t="shared" si="5"/>
        <v>5.0000000000000044E-3</v>
      </c>
      <c r="U24" s="415">
        <f t="shared" si="6"/>
        <v>6.0000000000000053E-2</v>
      </c>
      <c r="V24" s="119" t="s">
        <v>1930</v>
      </c>
      <c r="W24" s="120"/>
      <c r="X24" s="120"/>
      <c r="AE24" s="124" t="b">
        <f t="shared" si="0"/>
        <v>1</v>
      </c>
      <c r="AF24" s="124" t="b">
        <f t="shared" si="1"/>
        <v>1</v>
      </c>
      <c r="AH24" s="124">
        <v>15</v>
      </c>
      <c r="AJ24" s="124">
        <f t="array" ref="AJ24">IFERROR(INDEX($AH$10:$AH$258, MATCH(0, IF(TRUE=$AE$10:$AE$258, COUNTIF($AJ$9:$AJ23, $AH$10:$AH$258), ""), 0)),"")</f>
        <v>20</v>
      </c>
      <c r="AK24" s="124">
        <f t="array" ref="AK24">IFERROR(INDEX($AH$10:$AH$258, MATCH(0, IF(TRUE=$AF$10:$AF$258, COUNTIF($AK$9:$AK23, $AH$10:$AH$258), ""), 0)),"")</f>
        <v>24</v>
      </c>
      <c r="AL24" s="30" t="str">
        <f>IFERROR(INDEX('G-6 Hedgerow Data'!$BJ$3:$BJ$15,MATCH(D24,'G-6 Hedgerow Data'!$B$3:$B$15,0)),"")</f>
        <v>Hedgecond1</v>
      </c>
    </row>
    <row r="25" spans="2:38" ht="42.75" x14ac:dyDescent="0.2">
      <c r="B25" s="110">
        <v>16</v>
      </c>
      <c r="C25" s="165" t="s">
        <v>1702</v>
      </c>
      <c r="D25" s="63" t="s">
        <v>171</v>
      </c>
      <c r="E25" s="139">
        <v>0.37119999999999997</v>
      </c>
      <c r="F25" s="411" t="str">
        <f>IF(D25="","",VLOOKUP(D25,'G-6 Hedgerow Data'!$B$2:$AG$15,2,FALSE))</f>
        <v>Medium</v>
      </c>
      <c r="G25" s="363">
        <f>IF(D25="","",VLOOKUP(D25,'G-6 Hedgerow Data'!$B$2:$AG$15,3,FALSE))</f>
        <v>4</v>
      </c>
      <c r="H25" s="114" t="s">
        <v>68</v>
      </c>
      <c r="I25" s="363">
        <f>IFERROR(VLOOKUP(H25,'G-1 All Habitats'!$Z$2:$AA$9,2,FALSE),"")</f>
        <v>3</v>
      </c>
      <c r="J25" s="114" t="s">
        <v>1037</v>
      </c>
      <c r="K25" s="370" t="str">
        <f>IF(J25="","",IF(VLOOKUP(J25,'G-3 Multipliers'!$L$3:$N$6,2,FALSE)=0,"Spatial Data Missing",VLOOKUP(J25,'G-3 Multipliers'!$L$3:$N$6,2,FALSE)))</f>
        <v>Low Strategic Significance</v>
      </c>
      <c r="L25" s="368">
        <f>IF(J25="","",IF(VLOOKUP(J25,'G-3 Multipliers'!$L$3:$N$6,3,FALSE)=0,"Spatial Data Missing ⚠",VLOOKUP(J25,'G-3 Multipliers'!$L$3:$N$6,3,FALSE)))</f>
        <v>1</v>
      </c>
      <c r="M25" s="369" t="str">
        <f>IF(D25="","",VLOOKUP(D25,'G-6 Hedgerow Data'!$B$1:$AH$15,33,FALSE))</f>
        <v>Same distinctiveness band or better</v>
      </c>
      <c r="N25" s="376">
        <f t="shared" si="2"/>
        <v>4.4543999999999997</v>
      </c>
      <c r="O25" s="32"/>
      <c r="P25" s="582">
        <v>-2.5999999999999999E-3</v>
      </c>
      <c r="Q25" s="165">
        <v>0.37119999999999997</v>
      </c>
      <c r="R25" s="393">
        <f t="shared" si="3"/>
        <v>-3.1199999999999999E-2</v>
      </c>
      <c r="S25" s="393">
        <f t="shared" si="4"/>
        <v>4.4543999999999997</v>
      </c>
      <c r="T25" s="393">
        <f t="shared" si="5"/>
        <v>2.5999999999999912E-3</v>
      </c>
      <c r="U25" s="415">
        <f t="shared" si="6"/>
        <v>3.1200000000000117E-2</v>
      </c>
      <c r="V25" s="119" t="s">
        <v>1931</v>
      </c>
      <c r="W25" s="120"/>
      <c r="X25" s="120"/>
      <c r="AE25" s="124" t="b">
        <f t="shared" si="0"/>
        <v>0</v>
      </c>
      <c r="AF25" s="124" t="b">
        <f t="shared" si="1"/>
        <v>1</v>
      </c>
      <c r="AH25" s="124">
        <v>16</v>
      </c>
      <c r="AJ25" s="124">
        <f t="array" ref="AJ25">IFERROR(INDEX($AH$10:$AH$258, MATCH(0, IF(TRUE=$AE$10:$AE$258, COUNTIF($AJ$9:$AJ24, $AH$10:$AH$258), ""), 0)),"")</f>
        <v>21</v>
      </c>
      <c r="AK25" s="124">
        <f t="array" ref="AK25">IFERROR(INDEX($AH$10:$AH$258, MATCH(0, IF(TRUE=$AF$10:$AF$258, COUNTIF($AK$9:$AK24, $AH$10:$AH$258), ""), 0)),"")</f>
        <v>27</v>
      </c>
      <c r="AL25" s="30" t="str">
        <f>IFERROR(INDEX('G-6 Hedgerow Data'!$BJ$3:$BJ$15,MATCH(D25,'G-6 Hedgerow Data'!$B$3:$B$15,0)),"")</f>
        <v>Hedgecond1</v>
      </c>
    </row>
    <row r="26" spans="2:38" ht="42.75" x14ac:dyDescent="0.2">
      <c r="B26" s="110">
        <v>17</v>
      </c>
      <c r="C26" s="165" t="s">
        <v>1703</v>
      </c>
      <c r="D26" s="63" t="s">
        <v>176</v>
      </c>
      <c r="E26" s="139">
        <v>0.33050000000000002</v>
      </c>
      <c r="F26" s="411" t="str">
        <f>IF(D26="","",VLOOKUP(D26,'G-6 Hedgerow Data'!$B$2:$AG$15,2,FALSE))</f>
        <v>Low</v>
      </c>
      <c r="G26" s="363">
        <f>IF(D26="","",VLOOKUP(D26,'G-6 Hedgerow Data'!$B$2:$AG$15,3,FALSE))</f>
        <v>2</v>
      </c>
      <c r="H26" s="114" t="s">
        <v>67</v>
      </c>
      <c r="I26" s="363">
        <f>IFERROR(VLOOKUP(H26,'G-1 All Habitats'!$Z$2:$AA$9,2,FALSE),"")</f>
        <v>2</v>
      </c>
      <c r="J26" s="114" t="s">
        <v>1037</v>
      </c>
      <c r="K26" s="370" t="str">
        <f>IF(J26="","",IF(VLOOKUP(J26,'G-3 Multipliers'!$L$3:$N$6,2,FALSE)=0,"Spatial Data Missing",VLOOKUP(J26,'G-3 Multipliers'!$L$3:$N$6,2,FALSE)))</f>
        <v>Low Strategic Significance</v>
      </c>
      <c r="L26" s="368">
        <f>IF(J26="","",IF(VLOOKUP(J26,'G-3 Multipliers'!$L$3:$N$6,3,FALSE)=0,"Spatial Data Missing ⚠",VLOOKUP(J26,'G-3 Multipliers'!$L$3:$N$6,3,FALSE)))</f>
        <v>1</v>
      </c>
      <c r="M26" s="369" t="str">
        <f>IF(D26="","",VLOOKUP(D26,'G-6 Hedgerow Data'!$B$1:$AH$15,33,FALSE))</f>
        <v>Same distinctiveness band or better</v>
      </c>
      <c r="N26" s="376">
        <f t="shared" si="2"/>
        <v>1.3220000000000001</v>
      </c>
      <c r="O26" s="32"/>
      <c r="P26" s="582">
        <v>0.30370000000000003</v>
      </c>
      <c r="Q26" s="165">
        <v>0</v>
      </c>
      <c r="R26" s="393">
        <f t="shared" si="3"/>
        <v>1.2148000000000001</v>
      </c>
      <c r="S26" s="393">
        <f t="shared" si="4"/>
        <v>0</v>
      </c>
      <c r="T26" s="393">
        <f t="shared" si="5"/>
        <v>2.679999999999999E-2</v>
      </c>
      <c r="U26" s="415">
        <f t="shared" si="6"/>
        <v>0.10719999999999996</v>
      </c>
      <c r="V26" s="119" t="s">
        <v>1932</v>
      </c>
      <c r="W26" s="120"/>
      <c r="X26" s="120"/>
      <c r="AE26" s="124" t="b">
        <f t="shared" si="0"/>
        <v>1</v>
      </c>
      <c r="AF26" s="124" t="b">
        <f t="shared" si="1"/>
        <v>0</v>
      </c>
      <c r="AH26" s="124">
        <v>17</v>
      </c>
      <c r="AJ26" s="124">
        <f t="array" ref="AJ26">IFERROR(INDEX($AH$10:$AH$258, MATCH(0, IF(TRUE=$AE$10:$AE$258, COUNTIF($AJ$9:$AJ25, $AH$10:$AH$258), ""), 0)),"")</f>
        <v>22</v>
      </c>
      <c r="AK26" s="124">
        <f t="array" ref="AK26">IFERROR(INDEX($AH$10:$AH$258, MATCH(0, IF(TRUE=$AF$10:$AF$258, COUNTIF($AK$9:$AK25, $AH$10:$AH$258), ""), 0)),"")</f>
        <v>36</v>
      </c>
      <c r="AL26" s="30" t="str">
        <f>IFERROR(INDEX('G-6 Hedgerow Data'!$BJ$3:$BJ$15,MATCH(D26,'G-6 Hedgerow Data'!$B$3:$B$15,0)),"")</f>
        <v>Hedgecond1</v>
      </c>
    </row>
    <row r="27" spans="2:38" ht="42.75" x14ac:dyDescent="0.2">
      <c r="B27" s="110">
        <v>18</v>
      </c>
      <c r="C27" s="165" t="s">
        <v>1704</v>
      </c>
      <c r="D27" s="159" t="s">
        <v>176</v>
      </c>
      <c r="E27" s="139">
        <v>0.3866</v>
      </c>
      <c r="F27" s="411" t="str">
        <f>IF(D27="","",VLOOKUP(D27,'G-6 Hedgerow Data'!$B$2:$AG$15,2,FALSE))</f>
        <v>Low</v>
      </c>
      <c r="G27" s="363">
        <f>IF(D27="","",VLOOKUP(D27,'G-6 Hedgerow Data'!$B$2:$AG$15,3,FALSE))</f>
        <v>2</v>
      </c>
      <c r="H27" s="114" t="s">
        <v>67</v>
      </c>
      <c r="I27" s="363">
        <f>IFERROR(VLOOKUP(H27,'G-1 All Habitats'!$Z$2:$AA$9,2,FALSE),"")</f>
        <v>2</v>
      </c>
      <c r="J27" s="114" t="s">
        <v>1037</v>
      </c>
      <c r="K27" s="370" t="str">
        <f>IF(J27="","",IF(VLOOKUP(J27,'G-3 Multipliers'!$L$3:$N$6,2,FALSE)=0,"Spatial Data Missing",VLOOKUP(J27,'G-3 Multipliers'!$L$3:$N$6,2,FALSE)))</f>
        <v>Low Strategic Significance</v>
      </c>
      <c r="L27" s="368">
        <f>IF(J27="","",IF(VLOOKUP(J27,'G-3 Multipliers'!$L$3:$N$6,3,FALSE)=0,"Spatial Data Missing ⚠",VLOOKUP(J27,'G-3 Multipliers'!$L$3:$N$6,3,FALSE)))</f>
        <v>1</v>
      </c>
      <c r="M27" s="369" t="str">
        <f>IF(D27="","",VLOOKUP(D27,'G-6 Hedgerow Data'!$B$1:$AH$15,33,FALSE))</f>
        <v>Same distinctiveness band or better</v>
      </c>
      <c r="N27" s="376">
        <f t="shared" si="2"/>
        <v>1.5464</v>
      </c>
      <c r="O27" s="32"/>
      <c r="P27" s="582">
        <v>0.38159999999999999</v>
      </c>
      <c r="Q27" s="165">
        <v>0</v>
      </c>
      <c r="R27" s="393">
        <f t="shared" si="3"/>
        <v>1.5264</v>
      </c>
      <c r="S27" s="393">
        <f t="shared" si="4"/>
        <v>0</v>
      </c>
      <c r="T27" s="393">
        <f t="shared" si="5"/>
        <v>5.0000000000000044E-3</v>
      </c>
      <c r="U27" s="415">
        <f t="shared" si="6"/>
        <v>2.0000000000000018E-2</v>
      </c>
      <c r="V27" s="119" t="s">
        <v>1933</v>
      </c>
      <c r="W27" s="120"/>
      <c r="X27" s="120"/>
      <c r="AE27" s="124" t="b">
        <f t="shared" si="0"/>
        <v>1</v>
      </c>
      <c r="AF27" s="124" t="b">
        <f t="shared" si="1"/>
        <v>0</v>
      </c>
      <c r="AH27" s="124">
        <v>18</v>
      </c>
      <c r="AJ27" s="124">
        <f t="array" ref="AJ27">IFERROR(INDEX($AH$10:$AH$258, MATCH(0, IF(TRUE=$AE$10:$AE$258, COUNTIF($AJ$9:$AJ26, $AH$10:$AH$258), ""), 0)),"")</f>
        <v>23</v>
      </c>
      <c r="AK27" s="124">
        <f t="array" ref="AK27">IFERROR(INDEX($AH$10:$AH$258, MATCH(0, IF(TRUE=$AF$10:$AF$258, COUNTIF($AK$9:$AK26, $AH$10:$AH$258), ""), 0)),"")</f>
        <v>38</v>
      </c>
      <c r="AL27" s="30" t="str">
        <f>IFERROR(INDEX('G-6 Hedgerow Data'!$BJ$3:$BJ$15,MATCH(D27,'G-6 Hedgerow Data'!$B$3:$B$15,0)),"")</f>
        <v>Hedgecond1</v>
      </c>
    </row>
    <row r="28" spans="2:38" ht="42.75" x14ac:dyDescent="0.2">
      <c r="B28" s="110">
        <v>19</v>
      </c>
      <c r="C28" s="165" t="s">
        <v>1705</v>
      </c>
      <c r="D28" s="159" t="s">
        <v>171</v>
      </c>
      <c r="E28" s="139">
        <v>0.37880000000000003</v>
      </c>
      <c r="F28" s="411" t="str">
        <f>IF(D28="","",VLOOKUP(D28,'G-6 Hedgerow Data'!$B$2:$AG$15,2,FALSE))</f>
        <v>Medium</v>
      </c>
      <c r="G28" s="363">
        <f>IF(D28="","",VLOOKUP(D28,'G-6 Hedgerow Data'!$B$2:$AG$15,3,FALSE))</f>
        <v>4</v>
      </c>
      <c r="H28" s="114" t="s">
        <v>68</v>
      </c>
      <c r="I28" s="363">
        <f>IFERROR(VLOOKUP(H28,'G-1 All Habitats'!$Z$2:$AA$9,2,FALSE),"")</f>
        <v>3</v>
      </c>
      <c r="J28" s="114" t="s">
        <v>1037</v>
      </c>
      <c r="K28" s="370" t="str">
        <f>IF(J28="","",IF(VLOOKUP(J28,'G-3 Multipliers'!$L$3:$N$6,2,FALSE)=0,"Spatial Data Missing",VLOOKUP(J28,'G-3 Multipliers'!$L$3:$N$6,2,FALSE)))</f>
        <v>Low Strategic Significance</v>
      </c>
      <c r="L28" s="368">
        <f>IF(J28="","",IF(VLOOKUP(J28,'G-3 Multipliers'!$L$3:$N$6,3,FALSE)=0,"Spatial Data Missing ⚠",VLOOKUP(J28,'G-3 Multipliers'!$L$3:$N$6,3,FALSE)))</f>
        <v>1</v>
      </c>
      <c r="M28" s="369" t="str">
        <f>IF(D28="","",VLOOKUP(D28,'G-6 Hedgerow Data'!$B$1:$AH$15,33,FALSE))</f>
        <v>Same distinctiveness band or better</v>
      </c>
      <c r="N28" s="376">
        <f t="shared" si="2"/>
        <v>4.5456000000000003</v>
      </c>
      <c r="O28" s="32"/>
      <c r="P28" s="582">
        <v>8.0100000000000005E-2</v>
      </c>
      <c r="Q28" s="165">
        <v>0.29870000000000002</v>
      </c>
      <c r="R28" s="393">
        <f t="shared" si="3"/>
        <v>0.96120000000000005</v>
      </c>
      <c r="S28" s="393">
        <f t="shared" si="4"/>
        <v>3.5844000000000005</v>
      </c>
      <c r="T28" s="393">
        <f t="shared" si="5"/>
        <v>0</v>
      </c>
      <c r="U28" s="415">
        <f t="shared" si="6"/>
        <v>0</v>
      </c>
      <c r="V28" s="119"/>
      <c r="W28" s="120"/>
      <c r="X28" s="120"/>
      <c r="AE28" s="124" t="b">
        <f t="shared" si="0"/>
        <v>1</v>
      </c>
      <c r="AF28" s="124" t="b">
        <f t="shared" si="1"/>
        <v>1</v>
      </c>
      <c r="AH28" s="124">
        <v>19</v>
      </c>
      <c r="AJ28" s="124">
        <f t="array" ref="AJ28">IFERROR(INDEX($AH$10:$AH$258, MATCH(0, IF(TRUE=$AE$10:$AE$258, COUNTIF($AJ$9:$AJ27, $AH$10:$AH$258), ""), 0)),"")</f>
        <v>24</v>
      </c>
      <c r="AK28" s="124">
        <f t="array" ref="AK28">IFERROR(INDEX($AH$10:$AH$258, MATCH(0, IF(TRUE=$AF$10:$AF$258, COUNTIF($AK$9:$AK27, $AH$10:$AH$258), ""), 0)),"")</f>
        <v>41</v>
      </c>
      <c r="AL28" s="30" t="str">
        <f>IFERROR(INDEX('G-6 Hedgerow Data'!$BJ$3:$BJ$15,MATCH(D28,'G-6 Hedgerow Data'!$B$3:$B$15,0)),"")</f>
        <v>Hedgecond1</v>
      </c>
    </row>
    <row r="29" spans="2:38" ht="42.75" x14ac:dyDescent="0.2">
      <c r="B29" s="110">
        <v>20</v>
      </c>
      <c r="C29" s="165" t="s">
        <v>1706</v>
      </c>
      <c r="D29" s="159" t="s">
        <v>176</v>
      </c>
      <c r="E29" s="139">
        <v>8.3199999999999996E-2</v>
      </c>
      <c r="F29" s="411" t="str">
        <f>IF(D29="","",VLOOKUP(D29,'G-6 Hedgerow Data'!$B$2:$AG$15,2,FALSE))</f>
        <v>Low</v>
      </c>
      <c r="G29" s="363">
        <f>IF(D29="","",VLOOKUP(D29,'G-6 Hedgerow Data'!$B$2:$AG$15,3,FALSE))</f>
        <v>2</v>
      </c>
      <c r="H29" s="114" t="s">
        <v>67</v>
      </c>
      <c r="I29" s="363">
        <f>IFERROR(VLOOKUP(H29,'G-1 All Habitats'!$Z$2:$AA$9,2,FALSE),"")</f>
        <v>2</v>
      </c>
      <c r="J29" s="114" t="s">
        <v>1037</v>
      </c>
      <c r="K29" s="370" t="str">
        <f>IF(J29="","",IF(VLOOKUP(J29,'G-3 Multipliers'!$L$3:$N$6,2,FALSE)=0,"Spatial Data Missing",VLOOKUP(J29,'G-3 Multipliers'!$L$3:$N$6,2,FALSE)))</f>
        <v>Low Strategic Significance</v>
      </c>
      <c r="L29" s="368">
        <f>IF(J29="","",IF(VLOOKUP(J29,'G-3 Multipliers'!$L$3:$N$6,3,FALSE)=0,"Spatial Data Missing ⚠",VLOOKUP(J29,'G-3 Multipliers'!$L$3:$N$6,3,FALSE)))</f>
        <v>1</v>
      </c>
      <c r="M29" s="369" t="str">
        <f>IF(D29="","",VLOOKUP(D29,'G-6 Hedgerow Data'!$B$1:$AH$15,33,FALSE))</f>
        <v>Same distinctiveness band or better</v>
      </c>
      <c r="N29" s="376">
        <f t="shared" si="2"/>
        <v>0.33279999999999998</v>
      </c>
      <c r="O29" s="32"/>
      <c r="P29" s="582">
        <v>8.3199999999999996E-2</v>
      </c>
      <c r="Q29" s="165">
        <v>0</v>
      </c>
      <c r="R29" s="393">
        <f t="shared" si="3"/>
        <v>0.33279999999999998</v>
      </c>
      <c r="S29" s="393">
        <f t="shared" si="4"/>
        <v>0</v>
      </c>
      <c r="T29" s="393">
        <f t="shared" si="5"/>
        <v>0</v>
      </c>
      <c r="U29" s="415">
        <f t="shared" si="6"/>
        <v>0</v>
      </c>
      <c r="V29" s="119"/>
      <c r="W29" s="120"/>
      <c r="X29" s="120"/>
      <c r="AE29" s="124" t="b">
        <f t="shared" si="0"/>
        <v>1</v>
      </c>
      <c r="AF29" s="124" t="b">
        <f t="shared" si="1"/>
        <v>0</v>
      </c>
      <c r="AH29" s="124">
        <v>20</v>
      </c>
      <c r="AJ29" s="124">
        <f t="array" ref="AJ29">IFERROR(INDEX($AH$10:$AH$258, MATCH(0, IF(TRUE=$AE$10:$AE$258, COUNTIF($AJ$9:$AJ28, $AH$10:$AH$258), ""), 0)),"")</f>
        <v>25</v>
      </c>
      <c r="AK29" s="124">
        <f t="array" ref="AK29">IFERROR(INDEX($AH$10:$AH$258, MATCH(0, IF(TRUE=$AF$10:$AF$258, COUNTIF($AK$9:$AK28, $AH$10:$AH$258), ""), 0)),"")</f>
        <v>48</v>
      </c>
      <c r="AL29" s="30" t="str">
        <f>IFERROR(INDEX('G-6 Hedgerow Data'!$BJ$3:$BJ$15,MATCH(D29,'G-6 Hedgerow Data'!$B$3:$B$15,0)),"")</f>
        <v>Hedgecond1</v>
      </c>
    </row>
    <row r="30" spans="2:38" ht="42.75" x14ac:dyDescent="0.2">
      <c r="B30" s="110">
        <v>21</v>
      </c>
      <c r="C30" s="165" t="s">
        <v>1707</v>
      </c>
      <c r="D30" s="159" t="s">
        <v>176</v>
      </c>
      <c r="E30" s="139">
        <v>5.4399999999999997E-2</v>
      </c>
      <c r="F30" s="411" t="str">
        <f>IF(D30="","",VLOOKUP(D30,'G-6 Hedgerow Data'!$B$2:$AG$15,2,FALSE))</f>
        <v>Low</v>
      </c>
      <c r="G30" s="363">
        <f>IF(D30="","",VLOOKUP(D30,'G-6 Hedgerow Data'!$B$2:$AG$15,3,FALSE))</f>
        <v>2</v>
      </c>
      <c r="H30" s="114" t="s">
        <v>68</v>
      </c>
      <c r="I30" s="363">
        <f>IFERROR(VLOOKUP(H30,'G-1 All Habitats'!$Z$2:$AA$9,2,FALSE),"")</f>
        <v>3</v>
      </c>
      <c r="J30" s="114" t="s">
        <v>1037</v>
      </c>
      <c r="K30" s="370" t="str">
        <f>IF(J30="","",IF(VLOOKUP(J30,'G-3 Multipliers'!$L$3:$N$6,2,FALSE)=0,"Spatial Data Missing",VLOOKUP(J30,'G-3 Multipliers'!$L$3:$N$6,2,FALSE)))</f>
        <v>Low Strategic Significance</v>
      </c>
      <c r="L30" s="368">
        <f>IF(J30="","",IF(VLOOKUP(J30,'G-3 Multipliers'!$L$3:$N$6,3,FALSE)=0,"Spatial Data Missing ⚠",VLOOKUP(J30,'G-3 Multipliers'!$L$3:$N$6,3,FALSE)))</f>
        <v>1</v>
      </c>
      <c r="M30" s="369" t="str">
        <f>IF(D30="","",VLOOKUP(D30,'G-6 Hedgerow Data'!$B$1:$AH$15,33,FALSE))</f>
        <v>Same distinctiveness band or better</v>
      </c>
      <c r="N30" s="376">
        <f t="shared" si="2"/>
        <v>0.32639999999999997</v>
      </c>
      <c r="O30" s="32"/>
      <c r="P30" s="582">
        <v>5.4399999999999997E-2</v>
      </c>
      <c r="Q30" s="165">
        <v>0</v>
      </c>
      <c r="R30" s="393">
        <f t="shared" si="3"/>
        <v>0.32639999999999997</v>
      </c>
      <c r="S30" s="393">
        <f t="shared" si="4"/>
        <v>0</v>
      </c>
      <c r="T30" s="393">
        <f t="shared" si="5"/>
        <v>0</v>
      </c>
      <c r="U30" s="415">
        <f t="shared" si="6"/>
        <v>0</v>
      </c>
      <c r="V30" s="119"/>
      <c r="W30" s="120"/>
      <c r="X30" s="120"/>
      <c r="AE30" s="124" t="b">
        <f t="shared" si="0"/>
        <v>1</v>
      </c>
      <c r="AF30" s="124" t="b">
        <f t="shared" si="1"/>
        <v>0</v>
      </c>
      <c r="AH30" s="124">
        <v>21</v>
      </c>
      <c r="AJ30" s="124">
        <f t="array" ref="AJ30">IFERROR(INDEX($AH$10:$AH$258, MATCH(0, IF(TRUE=$AE$10:$AE$258, COUNTIF($AJ$9:$AJ29, $AH$10:$AH$258), ""), 0)),"")</f>
        <v>26</v>
      </c>
      <c r="AK30" s="124">
        <f t="array" ref="AK30">IFERROR(INDEX($AH$10:$AH$258, MATCH(0, IF(TRUE=$AF$10:$AF$258, COUNTIF($AK$9:$AK29, $AH$10:$AH$258), ""), 0)),"")</f>
        <v>49</v>
      </c>
      <c r="AL30" s="30" t="str">
        <f>IFERROR(INDEX('G-6 Hedgerow Data'!$BJ$3:$BJ$15,MATCH(D30,'G-6 Hedgerow Data'!$B$3:$B$15,0)),"")</f>
        <v>Hedgecond1</v>
      </c>
    </row>
    <row r="31" spans="2:38" ht="42.75" x14ac:dyDescent="0.2">
      <c r="B31" s="110">
        <v>22</v>
      </c>
      <c r="C31" s="165" t="s">
        <v>1708</v>
      </c>
      <c r="D31" s="159" t="s">
        <v>176</v>
      </c>
      <c r="E31" s="53">
        <v>0.10199999999999999</v>
      </c>
      <c r="F31" s="411" t="str">
        <f>IF(D31="","",VLOOKUP(D31,'G-6 Hedgerow Data'!$B$2:$AG$15,2,FALSE))</f>
        <v>Low</v>
      </c>
      <c r="G31" s="363">
        <f>IF(D31="","",VLOOKUP(D31,'G-6 Hedgerow Data'!$B$2:$AG$15,3,FALSE))</f>
        <v>2</v>
      </c>
      <c r="H31" s="114" t="s">
        <v>68</v>
      </c>
      <c r="I31" s="363">
        <f>IFERROR(VLOOKUP(H31,'G-1 All Habitats'!$Z$2:$AA$9,2,FALSE),"")</f>
        <v>3</v>
      </c>
      <c r="J31" s="114" t="s">
        <v>1037</v>
      </c>
      <c r="K31" s="370" t="str">
        <f>IF(J31="","",IF(VLOOKUP(J31,'G-3 Multipliers'!$L$3:$N$6,2,FALSE)=0,"Spatial Data Missing",VLOOKUP(J31,'G-3 Multipliers'!$L$3:$N$6,2,FALSE)))</f>
        <v>Low Strategic Significance</v>
      </c>
      <c r="L31" s="368">
        <f>IF(J31="","",IF(VLOOKUP(J31,'G-3 Multipliers'!$L$3:$N$6,3,FALSE)=0,"Spatial Data Missing ⚠",VLOOKUP(J31,'G-3 Multipliers'!$L$3:$N$6,3,FALSE)))</f>
        <v>1</v>
      </c>
      <c r="M31" s="369" t="str">
        <f>IF(D31="","",VLOOKUP(D31,'G-6 Hedgerow Data'!$B$1:$AH$15,33,FALSE))</f>
        <v>Same distinctiveness band or better</v>
      </c>
      <c r="N31" s="376">
        <f t="shared" si="2"/>
        <v>0.61199999999999999</v>
      </c>
      <c r="O31" s="32"/>
      <c r="P31" s="582">
        <v>0.10199999999999999</v>
      </c>
      <c r="Q31" s="165">
        <v>0</v>
      </c>
      <c r="R31" s="393">
        <f t="shared" si="3"/>
        <v>0.61199999999999999</v>
      </c>
      <c r="S31" s="393">
        <f t="shared" si="4"/>
        <v>0</v>
      </c>
      <c r="T31" s="393">
        <f t="shared" si="5"/>
        <v>0</v>
      </c>
      <c r="U31" s="415">
        <f t="shared" si="6"/>
        <v>0</v>
      </c>
      <c r="V31" s="119"/>
      <c r="W31" s="120"/>
      <c r="X31" s="120"/>
      <c r="AE31" s="124" t="b">
        <f t="shared" si="0"/>
        <v>1</v>
      </c>
      <c r="AF31" s="124" t="b">
        <f t="shared" si="1"/>
        <v>0</v>
      </c>
      <c r="AH31" s="124">
        <v>22</v>
      </c>
      <c r="AJ31" s="124">
        <f t="array" ref="AJ31">IFERROR(INDEX($AH$10:$AH$258, MATCH(0, IF(TRUE=$AE$10:$AE$258, COUNTIF($AJ$9:$AJ30, $AH$10:$AH$258), ""), 0)),"")</f>
        <v>28</v>
      </c>
      <c r="AK31" s="124">
        <f t="array" ref="AK31">IFERROR(INDEX($AH$10:$AH$258, MATCH(0, IF(TRUE=$AF$10:$AF$258, COUNTIF($AK$9:$AK30, $AH$10:$AH$258), ""), 0)),"")</f>
        <v>52</v>
      </c>
      <c r="AL31" s="30" t="str">
        <f>IFERROR(INDEX('G-6 Hedgerow Data'!$BJ$3:$BJ$15,MATCH(D31,'G-6 Hedgerow Data'!$B$3:$B$15,0)),"")</f>
        <v>Hedgecond1</v>
      </c>
    </row>
    <row r="32" spans="2:38" ht="42.75" x14ac:dyDescent="0.2">
      <c r="B32" s="110">
        <v>23</v>
      </c>
      <c r="C32" s="165" t="s">
        <v>1709</v>
      </c>
      <c r="D32" s="159" t="s">
        <v>171</v>
      </c>
      <c r="E32" s="53">
        <v>0.5534</v>
      </c>
      <c r="F32" s="411" t="str">
        <f>IF(D32="","",VLOOKUP(D32,'G-6 Hedgerow Data'!$B$2:$AG$15,2,FALSE))</f>
        <v>Medium</v>
      </c>
      <c r="G32" s="363">
        <f>IF(D32="","",VLOOKUP(D32,'G-6 Hedgerow Data'!$B$2:$AG$15,3,FALSE))</f>
        <v>4</v>
      </c>
      <c r="H32" s="114" t="s">
        <v>68</v>
      </c>
      <c r="I32" s="363">
        <f>IFERROR(VLOOKUP(H32,'G-1 All Habitats'!$Z$2:$AA$9,2,FALSE),"")</f>
        <v>3</v>
      </c>
      <c r="J32" s="114" t="s">
        <v>1037</v>
      </c>
      <c r="K32" s="370" t="str">
        <f>IF(J32="","",IF(VLOOKUP(J32,'G-3 Multipliers'!$L$3:$N$6,2,FALSE)=0,"Spatial Data Missing",VLOOKUP(J32,'G-3 Multipliers'!$L$3:$N$6,2,FALSE)))</f>
        <v>Low Strategic Significance</v>
      </c>
      <c r="L32" s="368">
        <f>IF(J32="","",IF(VLOOKUP(J32,'G-3 Multipliers'!$L$3:$N$6,3,FALSE)=0,"Spatial Data Missing ⚠",VLOOKUP(J32,'G-3 Multipliers'!$L$3:$N$6,3,FALSE)))</f>
        <v>1</v>
      </c>
      <c r="M32" s="369" t="str">
        <f>IF(D32="","",VLOOKUP(D32,'G-6 Hedgerow Data'!$B$1:$AH$15,33,FALSE))</f>
        <v>Same distinctiveness band or better</v>
      </c>
      <c r="N32" s="376">
        <f t="shared" si="2"/>
        <v>6.6408000000000005</v>
      </c>
      <c r="O32" s="32"/>
      <c r="P32" s="582">
        <v>0.31419999999999998</v>
      </c>
      <c r="Q32" s="165">
        <v>0.23699999999999999</v>
      </c>
      <c r="R32" s="393">
        <f t="shared" si="3"/>
        <v>3.7703999999999995</v>
      </c>
      <c r="S32" s="393">
        <f t="shared" si="4"/>
        <v>2.8439999999999999</v>
      </c>
      <c r="T32" s="393">
        <f t="shared" si="5"/>
        <v>2.2000000000000353E-3</v>
      </c>
      <c r="U32" s="415">
        <f t="shared" si="6"/>
        <v>2.6400000000001089E-2</v>
      </c>
      <c r="V32" s="119" t="s">
        <v>1934</v>
      </c>
      <c r="W32" s="120"/>
      <c r="X32" s="120"/>
      <c r="AE32" s="124" t="b">
        <f t="shared" si="0"/>
        <v>1</v>
      </c>
      <c r="AF32" s="124" t="b">
        <f t="shared" si="1"/>
        <v>1</v>
      </c>
      <c r="AH32" s="124">
        <v>23</v>
      </c>
      <c r="AJ32" s="124">
        <f t="array" ref="AJ32">IFERROR(INDEX($AH$10:$AH$258, MATCH(0, IF(TRUE=$AE$10:$AE$258, COUNTIF($AJ$9:$AJ31, $AH$10:$AH$258), ""), 0)),"")</f>
        <v>29</v>
      </c>
      <c r="AK32" s="124">
        <f t="array" ref="AK32">IFERROR(INDEX($AH$10:$AH$258, MATCH(0, IF(TRUE=$AF$10:$AF$258, COUNTIF($AK$9:$AK31, $AH$10:$AH$258), ""), 0)),"")</f>
        <v>53</v>
      </c>
      <c r="AL32" s="30" t="str">
        <f>IFERROR(INDEX('G-6 Hedgerow Data'!$BJ$3:$BJ$15,MATCH(D32,'G-6 Hedgerow Data'!$B$3:$B$15,0)),"")</f>
        <v>Hedgecond1</v>
      </c>
    </row>
    <row r="33" spans="2:38" ht="42.75" x14ac:dyDescent="0.2">
      <c r="B33" s="110">
        <v>24</v>
      </c>
      <c r="C33" s="165" t="s">
        <v>1710</v>
      </c>
      <c r="D33" s="159" t="s">
        <v>171</v>
      </c>
      <c r="E33" s="53">
        <v>0.33850000000000002</v>
      </c>
      <c r="F33" s="411" t="str">
        <f>IF(D33="","",VLOOKUP(D33,'G-6 Hedgerow Data'!$B$2:$AG$15,2,FALSE))</f>
        <v>Medium</v>
      </c>
      <c r="G33" s="363">
        <f>IF(D33="","",VLOOKUP(D33,'G-6 Hedgerow Data'!$B$2:$AG$15,3,FALSE))</f>
        <v>4</v>
      </c>
      <c r="H33" s="114" t="s">
        <v>68</v>
      </c>
      <c r="I33" s="363">
        <f>IFERROR(VLOOKUP(H33,'G-1 All Habitats'!$Z$2:$AA$9,2,FALSE),"")</f>
        <v>3</v>
      </c>
      <c r="J33" s="114" t="s">
        <v>1037</v>
      </c>
      <c r="K33" s="370" t="str">
        <f>IF(J33="","",IF(VLOOKUP(J33,'G-3 Multipliers'!$L$3:$N$6,2,FALSE)=0,"Spatial Data Missing",VLOOKUP(J33,'G-3 Multipliers'!$L$3:$N$6,2,FALSE)))</f>
        <v>Low Strategic Significance</v>
      </c>
      <c r="L33" s="368">
        <f>IF(J33="","",IF(VLOOKUP(J33,'G-3 Multipliers'!$L$3:$N$6,3,FALSE)=0,"Spatial Data Missing ⚠",VLOOKUP(J33,'G-3 Multipliers'!$L$3:$N$6,3,FALSE)))</f>
        <v>1</v>
      </c>
      <c r="M33" s="369" t="str">
        <f>IF(D33="","",VLOOKUP(D33,'G-6 Hedgerow Data'!$B$1:$AH$15,33,FALSE))</f>
        <v>Same distinctiveness band or better</v>
      </c>
      <c r="N33" s="376">
        <f t="shared" si="2"/>
        <v>4.0620000000000003</v>
      </c>
      <c r="O33" s="32"/>
      <c r="P33" s="582">
        <v>6.9000000000000006E-2</v>
      </c>
      <c r="Q33" s="165">
        <v>0.26950000000000002</v>
      </c>
      <c r="R33" s="393">
        <f t="shared" si="3"/>
        <v>0.82800000000000007</v>
      </c>
      <c r="S33" s="393">
        <f t="shared" si="4"/>
        <v>3.234</v>
      </c>
      <c r="T33" s="393">
        <f t="shared" si="5"/>
        <v>0</v>
      </c>
      <c r="U33" s="415">
        <f t="shared" si="6"/>
        <v>0</v>
      </c>
      <c r="V33" s="119"/>
      <c r="W33" s="120"/>
      <c r="X33" s="120"/>
      <c r="AE33" s="124" t="b">
        <f t="shared" si="0"/>
        <v>1</v>
      </c>
      <c r="AF33" s="124" t="b">
        <f t="shared" si="1"/>
        <v>1</v>
      </c>
      <c r="AH33" s="124">
        <v>24</v>
      </c>
      <c r="AJ33" s="124">
        <f t="array" ref="AJ33">IFERROR(INDEX($AH$10:$AH$258, MATCH(0, IF(TRUE=$AE$10:$AE$258, COUNTIF($AJ$9:$AJ32, $AH$10:$AH$258), ""), 0)),"")</f>
        <v>30</v>
      </c>
      <c r="AK33" s="124">
        <f t="array" ref="AK33">IFERROR(INDEX($AH$10:$AH$258, MATCH(0, IF(TRUE=$AF$10:$AF$258, COUNTIF($AK$9:$AK32, $AH$10:$AH$258), ""), 0)),"")</f>
        <v>55</v>
      </c>
      <c r="AL33" s="30" t="str">
        <f>IFERROR(INDEX('G-6 Hedgerow Data'!$BJ$3:$BJ$15,MATCH(D33,'G-6 Hedgerow Data'!$B$3:$B$15,0)),"")</f>
        <v>Hedgecond1</v>
      </c>
    </row>
    <row r="34" spans="2:38" ht="42.75" x14ac:dyDescent="0.2">
      <c r="B34" s="110">
        <v>25</v>
      </c>
      <c r="C34" s="165" t="s">
        <v>1711</v>
      </c>
      <c r="D34" s="159" t="s">
        <v>171</v>
      </c>
      <c r="E34" s="53">
        <v>0.48549999999999999</v>
      </c>
      <c r="F34" s="411" t="str">
        <f>IF(D34="","",VLOOKUP(D34,'G-6 Hedgerow Data'!$B$2:$AG$15,2,FALSE))</f>
        <v>Medium</v>
      </c>
      <c r="G34" s="363">
        <f>IF(D34="","",VLOOKUP(D34,'G-6 Hedgerow Data'!$B$2:$AG$15,3,FALSE))</f>
        <v>4</v>
      </c>
      <c r="H34" s="114" t="s">
        <v>68</v>
      </c>
      <c r="I34" s="363">
        <f>IFERROR(VLOOKUP(H34,'G-1 All Habitats'!$Z$2:$AA$9,2,FALSE),"")</f>
        <v>3</v>
      </c>
      <c r="J34" s="114" t="s">
        <v>1037</v>
      </c>
      <c r="K34" s="370" t="str">
        <f>IF(J34="","",IF(VLOOKUP(J34,'G-3 Multipliers'!$L$3:$N$6,2,FALSE)=0,"Spatial Data Missing",VLOOKUP(J34,'G-3 Multipliers'!$L$3:$N$6,2,FALSE)))</f>
        <v>Low Strategic Significance</v>
      </c>
      <c r="L34" s="368">
        <f>IF(J34="","",IF(VLOOKUP(J34,'G-3 Multipliers'!$L$3:$N$6,3,FALSE)=0,"Spatial Data Missing ⚠",VLOOKUP(J34,'G-3 Multipliers'!$L$3:$N$6,3,FALSE)))</f>
        <v>1</v>
      </c>
      <c r="M34" s="369" t="str">
        <f>IF(D34="","",VLOOKUP(D34,'G-6 Hedgerow Data'!$B$1:$AH$15,33,FALSE))</f>
        <v>Same distinctiveness band or better</v>
      </c>
      <c r="N34" s="376">
        <f t="shared" si="2"/>
        <v>5.8259999999999996</v>
      </c>
      <c r="O34" s="32"/>
      <c r="P34" s="582">
        <v>0.48320000000000002</v>
      </c>
      <c r="Q34" s="165">
        <v>0</v>
      </c>
      <c r="R34" s="393">
        <f t="shared" si="3"/>
        <v>5.7984</v>
      </c>
      <c r="S34" s="393">
        <f t="shared" si="4"/>
        <v>0</v>
      </c>
      <c r="T34" s="393">
        <f t="shared" si="5"/>
        <v>2.2999999999999687E-3</v>
      </c>
      <c r="U34" s="415">
        <f t="shared" si="6"/>
        <v>2.7599999999999625E-2</v>
      </c>
      <c r="V34" s="119" t="s">
        <v>1935</v>
      </c>
      <c r="W34" s="120"/>
      <c r="X34" s="120"/>
      <c r="AE34" s="124" t="b">
        <f t="shared" si="0"/>
        <v>1</v>
      </c>
      <c r="AF34" s="124" t="b">
        <f t="shared" si="1"/>
        <v>0</v>
      </c>
      <c r="AH34" s="124">
        <v>25</v>
      </c>
      <c r="AJ34" s="124">
        <f t="array" ref="AJ34">IFERROR(INDEX($AH$10:$AH$258, MATCH(0, IF(TRUE=$AE$10:$AE$258, COUNTIF($AJ$9:$AJ33, $AH$10:$AH$258), ""), 0)),"")</f>
        <v>31</v>
      </c>
      <c r="AK34" s="124">
        <f t="array" ref="AK34">IFERROR(INDEX($AH$10:$AH$258, MATCH(0, IF(TRUE=$AF$10:$AF$258, COUNTIF($AK$9:$AK33, $AH$10:$AH$258), ""), 0)),"")</f>
        <v>60</v>
      </c>
      <c r="AL34" s="30" t="str">
        <f>IFERROR(INDEX('G-6 Hedgerow Data'!$BJ$3:$BJ$15,MATCH(D34,'G-6 Hedgerow Data'!$B$3:$B$15,0)),"")</f>
        <v>Hedgecond1</v>
      </c>
    </row>
    <row r="35" spans="2:38" ht="42.75" x14ac:dyDescent="0.2">
      <c r="B35" s="110">
        <v>26</v>
      </c>
      <c r="C35" s="165" t="s">
        <v>1712</v>
      </c>
      <c r="D35" s="159" t="s">
        <v>171</v>
      </c>
      <c r="E35" s="139">
        <v>0.69630000000000003</v>
      </c>
      <c r="F35" s="411" t="str">
        <f>IF(D35="","",VLOOKUP(D35,'G-6 Hedgerow Data'!$B$2:$AG$15,2,FALSE))</f>
        <v>Medium</v>
      </c>
      <c r="G35" s="363">
        <f>IF(D35="","",VLOOKUP(D35,'G-6 Hedgerow Data'!$B$2:$AG$15,3,FALSE))</f>
        <v>4</v>
      </c>
      <c r="H35" s="114" t="s">
        <v>68</v>
      </c>
      <c r="I35" s="363">
        <f>IFERROR(VLOOKUP(H35,'G-1 All Habitats'!$Z$2:$AA$9,2,FALSE),"")</f>
        <v>3</v>
      </c>
      <c r="J35" s="114" t="s">
        <v>1037</v>
      </c>
      <c r="K35" s="370" t="str">
        <f>IF(J35="","",IF(VLOOKUP(J35,'G-3 Multipliers'!$L$3:$N$6,2,FALSE)=0,"Spatial Data Missing",VLOOKUP(J35,'G-3 Multipliers'!$L$3:$N$6,2,FALSE)))</f>
        <v>Low Strategic Significance</v>
      </c>
      <c r="L35" s="368">
        <f>IF(J35="","",IF(VLOOKUP(J35,'G-3 Multipliers'!$L$3:$N$6,3,FALSE)=0,"Spatial Data Missing ⚠",VLOOKUP(J35,'G-3 Multipliers'!$L$3:$N$6,3,FALSE)))</f>
        <v>1</v>
      </c>
      <c r="M35" s="369" t="str">
        <f>IF(D35="","",VLOOKUP(D35,'G-6 Hedgerow Data'!$B$1:$AH$15,33,FALSE))</f>
        <v>Same distinctiveness band or better</v>
      </c>
      <c r="N35" s="376">
        <f t="shared" si="2"/>
        <v>8.3556000000000008</v>
      </c>
      <c r="O35" s="32"/>
      <c r="P35" s="582">
        <v>0.69440000000000002</v>
      </c>
      <c r="Q35" s="165">
        <v>0</v>
      </c>
      <c r="R35" s="393">
        <f t="shared" si="3"/>
        <v>8.3328000000000007</v>
      </c>
      <c r="S35" s="393">
        <f t="shared" si="4"/>
        <v>0</v>
      </c>
      <c r="T35" s="393">
        <f t="shared" si="5"/>
        <v>1.9000000000000128E-3</v>
      </c>
      <c r="U35" s="415">
        <f t="shared" si="6"/>
        <v>2.2800000000000153E-2</v>
      </c>
      <c r="V35" s="119" t="s">
        <v>1936</v>
      </c>
      <c r="W35" s="120"/>
      <c r="X35" s="120"/>
      <c r="AE35" s="124" t="b">
        <f t="shared" si="0"/>
        <v>1</v>
      </c>
      <c r="AF35" s="124" t="b">
        <f t="shared" si="1"/>
        <v>0</v>
      </c>
      <c r="AH35" s="124">
        <v>26</v>
      </c>
      <c r="AJ35" s="124">
        <f t="array" ref="AJ35">IFERROR(INDEX($AH$10:$AH$258, MATCH(0, IF(TRUE=$AE$10:$AE$258, COUNTIF($AJ$9:$AJ34, $AH$10:$AH$258), ""), 0)),"")</f>
        <v>32</v>
      </c>
      <c r="AK35" s="124">
        <f t="array" ref="AK35">IFERROR(INDEX($AH$10:$AH$258, MATCH(0, IF(TRUE=$AF$10:$AF$258, COUNTIF($AK$9:$AK34, $AH$10:$AH$258), ""), 0)),"")</f>
        <v>67</v>
      </c>
      <c r="AL35" s="30" t="str">
        <f>IFERROR(INDEX('G-6 Hedgerow Data'!$BJ$3:$BJ$15,MATCH(D35,'G-6 Hedgerow Data'!$B$3:$B$15,0)),"")</f>
        <v>Hedgecond1</v>
      </c>
    </row>
    <row r="36" spans="2:38" ht="42.75" x14ac:dyDescent="0.2">
      <c r="B36" s="110">
        <v>27</v>
      </c>
      <c r="C36" s="165" t="s">
        <v>1713</v>
      </c>
      <c r="D36" s="165" t="s">
        <v>176</v>
      </c>
      <c r="E36" s="139">
        <v>0.58540000000000003</v>
      </c>
      <c r="F36" s="411" t="str">
        <f>IF(D36="","",VLOOKUP(D36,'G-6 Hedgerow Data'!$B$2:$AG$15,2,FALSE))</f>
        <v>Low</v>
      </c>
      <c r="G36" s="363">
        <f>IF(D36="","",VLOOKUP(D36,'G-6 Hedgerow Data'!$B$2:$AG$15,3,FALSE))</f>
        <v>2</v>
      </c>
      <c r="H36" s="114" t="s">
        <v>68</v>
      </c>
      <c r="I36" s="363">
        <f>IFERROR(VLOOKUP(H36,'G-1 All Habitats'!$Z$2:$AA$9,2,FALSE),"")</f>
        <v>3</v>
      </c>
      <c r="J36" s="114" t="s">
        <v>1037</v>
      </c>
      <c r="K36" s="370" t="str">
        <f>IF(J36="","",IF(VLOOKUP(J36,'G-3 Multipliers'!$L$3:$N$6,2,FALSE)=0,"Spatial Data Missing",VLOOKUP(J36,'G-3 Multipliers'!$L$3:$N$6,2,FALSE)))</f>
        <v>Low Strategic Significance</v>
      </c>
      <c r="L36" s="368">
        <f>IF(J36="","",IF(VLOOKUP(J36,'G-3 Multipliers'!$L$3:$N$6,3,FALSE)=0,"Spatial Data Missing ⚠",VLOOKUP(J36,'G-3 Multipliers'!$L$3:$N$6,3,FALSE)))</f>
        <v>1</v>
      </c>
      <c r="M36" s="369" t="str">
        <f>IF(D36="","",VLOOKUP(D36,'G-6 Hedgerow Data'!$B$1:$AH$15,33,FALSE))</f>
        <v>Same distinctiveness band or better</v>
      </c>
      <c r="N36" s="376">
        <f t="shared" si="2"/>
        <v>3.5124000000000004</v>
      </c>
      <c r="O36" s="32"/>
      <c r="P36" s="582">
        <v>0</v>
      </c>
      <c r="Q36" s="165">
        <v>0.58540000000000003</v>
      </c>
      <c r="R36" s="393">
        <f t="shared" si="3"/>
        <v>0</v>
      </c>
      <c r="S36" s="393">
        <f t="shared" si="4"/>
        <v>3.5124000000000004</v>
      </c>
      <c r="T36" s="393">
        <f t="shared" si="5"/>
        <v>0</v>
      </c>
      <c r="U36" s="415">
        <f t="shared" si="6"/>
        <v>0</v>
      </c>
      <c r="V36" s="119"/>
      <c r="W36" s="120"/>
      <c r="X36" s="120"/>
      <c r="AE36" s="124" t="b">
        <f t="shared" si="0"/>
        <v>0</v>
      </c>
      <c r="AF36" s="124" t="b">
        <f t="shared" si="1"/>
        <v>1</v>
      </c>
      <c r="AH36" s="124">
        <v>27</v>
      </c>
      <c r="AJ36" s="124">
        <f t="array" ref="AJ36">IFERROR(INDEX($AH$10:$AH$258, MATCH(0, IF(TRUE=$AE$10:$AE$258, COUNTIF($AJ$9:$AJ35, $AH$10:$AH$258), ""), 0)),"")</f>
        <v>33</v>
      </c>
      <c r="AK36" s="124">
        <f t="array" ref="AK36">IFERROR(INDEX($AH$10:$AH$258, MATCH(0, IF(TRUE=$AF$10:$AF$258, COUNTIF($AK$9:$AK35, $AH$10:$AH$258), ""), 0)),"")</f>
        <v>71</v>
      </c>
      <c r="AL36" s="30" t="str">
        <f>IFERROR(INDEX('G-6 Hedgerow Data'!$BJ$3:$BJ$15,MATCH(D36,'G-6 Hedgerow Data'!$B$3:$B$15,0)),"")</f>
        <v>Hedgecond1</v>
      </c>
    </row>
    <row r="37" spans="2:38" ht="42.75" x14ac:dyDescent="0.2">
      <c r="B37" s="110">
        <v>28</v>
      </c>
      <c r="C37" s="165" t="s">
        <v>1714</v>
      </c>
      <c r="D37" s="165" t="s">
        <v>171</v>
      </c>
      <c r="E37" s="139">
        <v>0.40660000000000002</v>
      </c>
      <c r="F37" s="411" t="str">
        <f>IF(D37="","",VLOOKUP(D37,'G-6 Hedgerow Data'!$B$2:$AG$15,2,FALSE))</f>
        <v>Medium</v>
      </c>
      <c r="G37" s="363">
        <f>IF(D37="","",VLOOKUP(D37,'G-6 Hedgerow Data'!$B$2:$AG$15,3,FALSE))</f>
        <v>4</v>
      </c>
      <c r="H37" s="114" t="s">
        <v>67</v>
      </c>
      <c r="I37" s="363">
        <f>IFERROR(VLOOKUP(H37,'G-1 All Habitats'!$Z$2:$AA$9,2,FALSE),"")</f>
        <v>2</v>
      </c>
      <c r="J37" s="114" t="s">
        <v>1037</v>
      </c>
      <c r="K37" s="370" t="str">
        <f>IF(J37="","",IF(VLOOKUP(J37,'G-3 Multipliers'!$L$3:$N$6,2,FALSE)=0,"Spatial Data Missing",VLOOKUP(J37,'G-3 Multipliers'!$L$3:$N$6,2,FALSE)))</f>
        <v>Low Strategic Significance</v>
      </c>
      <c r="L37" s="368">
        <f>IF(J37="","",IF(VLOOKUP(J37,'G-3 Multipliers'!$L$3:$N$6,3,FALSE)=0,"Spatial Data Missing ⚠",VLOOKUP(J37,'G-3 Multipliers'!$L$3:$N$6,3,FALSE)))</f>
        <v>1</v>
      </c>
      <c r="M37" s="369" t="str">
        <f>IF(D37="","",VLOOKUP(D37,'G-6 Hedgerow Data'!$B$1:$AH$15,33,FALSE))</f>
        <v>Same distinctiveness band or better</v>
      </c>
      <c r="N37" s="376">
        <f t="shared" si="2"/>
        <v>3.2528000000000001</v>
      </c>
      <c r="O37" s="32"/>
      <c r="P37" s="582">
        <v>0.40160000000000001</v>
      </c>
      <c r="Q37" s="165">
        <v>0</v>
      </c>
      <c r="R37" s="393">
        <f t="shared" si="3"/>
        <v>3.2128000000000001</v>
      </c>
      <c r="S37" s="393">
        <f t="shared" si="4"/>
        <v>0</v>
      </c>
      <c r="T37" s="393">
        <f t="shared" si="5"/>
        <v>5.0000000000000044E-3</v>
      </c>
      <c r="U37" s="415">
        <f t="shared" si="6"/>
        <v>4.0000000000000036E-2</v>
      </c>
      <c r="V37" s="119"/>
      <c r="W37" s="120"/>
      <c r="X37" s="120"/>
      <c r="AE37" s="124" t="b">
        <f t="shared" si="0"/>
        <v>1</v>
      </c>
      <c r="AF37" s="124" t="b">
        <f t="shared" si="1"/>
        <v>0</v>
      </c>
      <c r="AH37" s="124">
        <v>28</v>
      </c>
      <c r="AJ37" s="124">
        <f t="array" ref="AJ37">IFERROR(INDEX($AH$10:$AH$258, MATCH(0, IF(TRUE=$AE$10:$AE$258, COUNTIF($AJ$9:$AJ36, $AH$10:$AH$258), ""), 0)),"")</f>
        <v>34</v>
      </c>
      <c r="AK37" s="124">
        <f t="array" ref="AK37">IFERROR(INDEX($AH$10:$AH$258, MATCH(0, IF(TRUE=$AF$10:$AF$258, COUNTIF($AK$9:$AK36, $AH$10:$AH$258), ""), 0)),"")</f>
        <v>75</v>
      </c>
      <c r="AL37" s="30" t="str">
        <f>IFERROR(INDEX('G-6 Hedgerow Data'!$BJ$3:$BJ$15,MATCH(D37,'G-6 Hedgerow Data'!$B$3:$B$15,0)),"")</f>
        <v>Hedgecond1</v>
      </c>
    </row>
    <row r="38" spans="2:38" ht="42.75" x14ac:dyDescent="0.2">
      <c r="B38" s="110">
        <v>29</v>
      </c>
      <c r="C38" s="165" t="s">
        <v>1715</v>
      </c>
      <c r="D38" s="165" t="s">
        <v>176</v>
      </c>
      <c r="E38" s="139">
        <v>0.26989999999999997</v>
      </c>
      <c r="F38" s="411" t="str">
        <f>IF(D38="","",VLOOKUP(D38,'G-6 Hedgerow Data'!$B$2:$AG$15,2,FALSE))</f>
        <v>Low</v>
      </c>
      <c r="G38" s="363">
        <f>IF(D38="","",VLOOKUP(D38,'G-6 Hedgerow Data'!$B$2:$AG$15,3,FALSE))</f>
        <v>2</v>
      </c>
      <c r="H38" s="114" t="s">
        <v>67</v>
      </c>
      <c r="I38" s="363">
        <f>IFERROR(VLOOKUP(H38,'G-1 All Habitats'!$Z$2:$AA$9,2,FALSE),"")</f>
        <v>2</v>
      </c>
      <c r="J38" s="114" t="s">
        <v>1037</v>
      </c>
      <c r="K38" s="370" t="str">
        <f>IF(J38="","",IF(VLOOKUP(J38,'G-3 Multipliers'!$L$3:$N$6,2,FALSE)=0,"Spatial Data Missing",VLOOKUP(J38,'G-3 Multipliers'!$L$3:$N$6,2,FALSE)))</f>
        <v>Low Strategic Significance</v>
      </c>
      <c r="L38" s="368">
        <f>IF(J38="","",IF(VLOOKUP(J38,'G-3 Multipliers'!$L$3:$N$6,3,FALSE)=0,"Spatial Data Missing ⚠",VLOOKUP(J38,'G-3 Multipliers'!$L$3:$N$6,3,FALSE)))</f>
        <v>1</v>
      </c>
      <c r="M38" s="369" t="str">
        <f>IF(D38="","",VLOOKUP(D38,'G-6 Hedgerow Data'!$B$1:$AH$15,33,FALSE))</f>
        <v>Same distinctiveness band or better</v>
      </c>
      <c r="N38" s="376">
        <f t="shared" si="2"/>
        <v>1.0795999999999999</v>
      </c>
      <c r="O38" s="32"/>
      <c r="P38" s="582">
        <v>0.2626</v>
      </c>
      <c r="Q38" s="165">
        <v>0</v>
      </c>
      <c r="R38" s="393">
        <f t="shared" si="3"/>
        <v>1.0504</v>
      </c>
      <c r="S38" s="393">
        <f t="shared" si="4"/>
        <v>0</v>
      </c>
      <c r="T38" s="393">
        <f t="shared" si="5"/>
        <v>7.2999999999999732E-3</v>
      </c>
      <c r="U38" s="415">
        <f t="shared" si="6"/>
        <v>2.9199999999999893E-2</v>
      </c>
      <c r="V38" s="119" t="s">
        <v>1937</v>
      </c>
      <c r="W38" s="120"/>
      <c r="X38" s="120"/>
      <c r="AE38" s="124" t="b">
        <f t="shared" si="0"/>
        <v>1</v>
      </c>
      <c r="AF38" s="124" t="b">
        <f t="shared" si="1"/>
        <v>0</v>
      </c>
      <c r="AH38" s="124">
        <v>29</v>
      </c>
      <c r="AJ38" s="124">
        <f t="array" ref="AJ38">IFERROR(INDEX($AH$10:$AH$258, MATCH(0, IF(TRUE=$AE$10:$AE$258, COUNTIF($AJ$9:$AJ37, $AH$10:$AH$258), ""), 0)),"")</f>
        <v>35</v>
      </c>
      <c r="AK38" s="124">
        <f t="array" ref="AK38">IFERROR(INDEX($AH$10:$AH$258, MATCH(0, IF(TRUE=$AF$10:$AF$258, COUNTIF($AK$9:$AK37, $AH$10:$AH$258), ""), 0)),"")</f>
        <v>78</v>
      </c>
      <c r="AL38" s="30" t="str">
        <f>IFERROR(INDEX('G-6 Hedgerow Data'!$BJ$3:$BJ$15,MATCH(D38,'G-6 Hedgerow Data'!$B$3:$B$15,0)),"")</f>
        <v>Hedgecond1</v>
      </c>
    </row>
    <row r="39" spans="2:38" ht="42.75" x14ac:dyDescent="0.2">
      <c r="B39" s="110">
        <v>30</v>
      </c>
      <c r="C39" s="165" t="s">
        <v>1716</v>
      </c>
      <c r="D39" s="165" t="s">
        <v>171</v>
      </c>
      <c r="E39" s="139">
        <v>0.2878</v>
      </c>
      <c r="F39" s="411" t="str">
        <f>IF(D39="","",VLOOKUP(D39,'G-6 Hedgerow Data'!$B$2:$AG$15,2,FALSE))</f>
        <v>Medium</v>
      </c>
      <c r="G39" s="363">
        <f>IF(D39="","",VLOOKUP(D39,'G-6 Hedgerow Data'!$B$2:$AG$15,3,FALSE))</f>
        <v>4</v>
      </c>
      <c r="H39" s="114" t="s">
        <v>68</v>
      </c>
      <c r="I39" s="363">
        <f>IFERROR(VLOOKUP(H39,'G-1 All Habitats'!$Z$2:$AA$9,2,FALSE),"")</f>
        <v>3</v>
      </c>
      <c r="J39" s="114" t="s">
        <v>1037</v>
      </c>
      <c r="K39" s="370" t="str">
        <f>IF(J39="","",IF(VLOOKUP(J39,'G-3 Multipliers'!$L$3:$N$6,2,FALSE)=0,"Spatial Data Missing",VLOOKUP(J39,'G-3 Multipliers'!$L$3:$N$6,2,FALSE)))</f>
        <v>Low Strategic Significance</v>
      </c>
      <c r="L39" s="368">
        <f>IF(J39="","",IF(VLOOKUP(J39,'G-3 Multipliers'!$L$3:$N$6,3,FALSE)=0,"Spatial Data Missing ⚠",VLOOKUP(J39,'G-3 Multipliers'!$L$3:$N$6,3,FALSE)))</f>
        <v>1</v>
      </c>
      <c r="M39" s="369" t="str">
        <f>IF(D39="","",VLOOKUP(D39,'G-6 Hedgerow Data'!$B$1:$AH$15,33,FALSE))</f>
        <v>Same distinctiveness band or better</v>
      </c>
      <c r="N39" s="376">
        <f t="shared" si="2"/>
        <v>3.4535999999999998</v>
      </c>
      <c r="O39" s="32"/>
      <c r="P39" s="582">
        <v>0.2878</v>
      </c>
      <c r="Q39" s="165">
        <v>0</v>
      </c>
      <c r="R39" s="393">
        <f t="shared" si="3"/>
        <v>3.4535999999999998</v>
      </c>
      <c r="S39" s="393">
        <f t="shared" si="4"/>
        <v>0</v>
      </c>
      <c r="T39" s="393">
        <f t="shared" si="5"/>
        <v>0</v>
      </c>
      <c r="U39" s="415">
        <f t="shared" si="6"/>
        <v>0</v>
      </c>
      <c r="V39" s="119"/>
      <c r="W39" s="120"/>
      <c r="X39" s="120"/>
      <c r="AE39" s="124" t="b">
        <f t="shared" si="0"/>
        <v>1</v>
      </c>
      <c r="AF39" s="124" t="b">
        <f t="shared" si="1"/>
        <v>0</v>
      </c>
      <c r="AH39" s="124">
        <v>30</v>
      </c>
      <c r="AJ39" s="124">
        <f t="array" ref="AJ39">IFERROR(INDEX($AH$10:$AH$258, MATCH(0, IF(TRUE=$AE$10:$AE$258, COUNTIF($AJ$9:$AJ38, $AH$10:$AH$258), ""), 0)),"")</f>
        <v>37</v>
      </c>
      <c r="AK39" s="124">
        <f t="array" ref="AK39">IFERROR(INDEX($AH$10:$AH$258, MATCH(0, IF(TRUE=$AF$10:$AF$258, COUNTIF($AK$9:$AK38, $AH$10:$AH$258), ""), 0)),"")</f>
        <v>80</v>
      </c>
      <c r="AL39" s="30" t="str">
        <f>IFERROR(INDEX('G-6 Hedgerow Data'!$BJ$3:$BJ$15,MATCH(D39,'G-6 Hedgerow Data'!$B$3:$B$15,0)),"")</f>
        <v>Hedgecond1</v>
      </c>
    </row>
    <row r="40" spans="2:38" ht="42.75" x14ac:dyDescent="0.2">
      <c r="B40" s="110">
        <v>31</v>
      </c>
      <c r="C40" s="165" t="s">
        <v>1717</v>
      </c>
      <c r="D40" s="165" t="s">
        <v>171</v>
      </c>
      <c r="E40" s="139">
        <v>0.19989999999999999</v>
      </c>
      <c r="F40" s="411" t="str">
        <f>IF(D40="","",VLOOKUP(D40,'G-6 Hedgerow Data'!$B$2:$AG$15,2,FALSE))</f>
        <v>Medium</v>
      </c>
      <c r="G40" s="363">
        <f>IF(D40="","",VLOOKUP(D40,'G-6 Hedgerow Data'!$B$2:$AG$15,3,FALSE))</f>
        <v>4</v>
      </c>
      <c r="H40" s="114" t="s">
        <v>68</v>
      </c>
      <c r="I40" s="363">
        <f>IFERROR(VLOOKUP(H40,'G-1 All Habitats'!$Z$2:$AA$9,2,FALSE),"")</f>
        <v>3</v>
      </c>
      <c r="J40" s="114" t="s">
        <v>1037</v>
      </c>
      <c r="K40" s="370" t="str">
        <f>IF(J40="","",IF(VLOOKUP(J40,'G-3 Multipliers'!$L$3:$N$6,2,FALSE)=0,"Spatial Data Missing",VLOOKUP(J40,'G-3 Multipliers'!$L$3:$N$6,2,FALSE)))</f>
        <v>Low Strategic Significance</v>
      </c>
      <c r="L40" s="368">
        <f>IF(J40="","",IF(VLOOKUP(J40,'G-3 Multipliers'!$L$3:$N$6,3,FALSE)=0,"Spatial Data Missing ⚠",VLOOKUP(J40,'G-3 Multipliers'!$L$3:$N$6,3,FALSE)))</f>
        <v>1</v>
      </c>
      <c r="M40" s="369" t="str">
        <f>IF(D40="","",VLOOKUP(D40,'G-6 Hedgerow Data'!$B$1:$AH$15,33,FALSE))</f>
        <v>Same distinctiveness band or better</v>
      </c>
      <c r="N40" s="376">
        <f t="shared" si="2"/>
        <v>2.3988</v>
      </c>
      <c r="O40" s="32"/>
      <c r="P40" s="582">
        <v>0.19980000000000001</v>
      </c>
      <c r="Q40" s="165">
        <v>0</v>
      </c>
      <c r="R40" s="393">
        <f t="shared" si="3"/>
        <v>2.3976000000000002</v>
      </c>
      <c r="S40" s="393">
        <f t="shared" si="4"/>
        <v>0</v>
      </c>
      <c r="T40" s="393">
        <f t="shared" si="5"/>
        <v>9.9999999999988987E-5</v>
      </c>
      <c r="U40" s="415">
        <f t="shared" si="6"/>
        <v>1.1999999999998678E-3</v>
      </c>
      <c r="V40" s="119" t="s">
        <v>1938</v>
      </c>
      <c r="W40" s="120"/>
      <c r="X40" s="120"/>
      <c r="AE40" s="124" t="b">
        <f t="shared" si="0"/>
        <v>1</v>
      </c>
      <c r="AF40" s="124" t="b">
        <f t="shared" si="1"/>
        <v>0</v>
      </c>
      <c r="AH40" s="124">
        <v>31</v>
      </c>
      <c r="AJ40" s="124">
        <f t="array" ref="AJ40">IFERROR(INDEX($AH$10:$AH$258, MATCH(0, IF(TRUE=$AE$10:$AE$258, COUNTIF($AJ$9:$AJ39, $AH$10:$AH$258), ""), 0)),"")</f>
        <v>39</v>
      </c>
      <c r="AK40" s="124">
        <f t="array" ref="AK40">IFERROR(INDEX($AH$10:$AH$258, MATCH(0, IF(TRUE=$AF$10:$AF$258, COUNTIF($AK$9:$AK39, $AH$10:$AH$258), ""), 0)),"")</f>
        <v>82</v>
      </c>
      <c r="AL40" s="30" t="str">
        <f>IFERROR(INDEX('G-6 Hedgerow Data'!$BJ$3:$BJ$15,MATCH(D40,'G-6 Hedgerow Data'!$B$3:$B$15,0)),"")</f>
        <v>Hedgecond1</v>
      </c>
    </row>
    <row r="41" spans="2:38" ht="42.75" x14ac:dyDescent="0.2">
      <c r="B41" s="110">
        <v>32</v>
      </c>
      <c r="C41" s="165" t="s">
        <v>1718</v>
      </c>
      <c r="D41" s="165" t="s">
        <v>171</v>
      </c>
      <c r="E41" s="139">
        <v>0.2102</v>
      </c>
      <c r="F41" s="411" t="str">
        <f>IF(D41="","",VLOOKUP(D41,'G-6 Hedgerow Data'!$B$2:$AG$15,2,FALSE))</f>
        <v>Medium</v>
      </c>
      <c r="G41" s="363">
        <f>IF(D41="","",VLOOKUP(D41,'G-6 Hedgerow Data'!$B$2:$AG$15,3,FALSE))</f>
        <v>4</v>
      </c>
      <c r="H41" s="114" t="s">
        <v>67</v>
      </c>
      <c r="I41" s="363">
        <f>IFERROR(VLOOKUP(H41,'G-1 All Habitats'!$Z$2:$AA$9,2,FALSE),"")</f>
        <v>2</v>
      </c>
      <c r="J41" s="114" t="s">
        <v>1037</v>
      </c>
      <c r="K41" s="370" t="str">
        <f>IF(J41="","",IF(VLOOKUP(J41,'G-3 Multipliers'!$L$3:$N$6,2,FALSE)=0,"Spatial Data Missing",VLOOKUP(J41,'G-3 Multipliers'!$L$3:$N$6,2,FALSE)))</f>
        <v>Low Strategic Significance</v>
      </c>
      <c r="L41" s="368">
        <f>IF(J41="","",IF(VLOOKUP(J41,'G-3 Multipliers'!$L$3:$N$6,3,FALSE)=0,"Spatial Data Missing ⚠",VLOOKUP(J41,'G-3 Multipliers'!$L$3:$N$6,3,FALSE)))</f>
        <v>1</v>
      </c>
      <c r="M41" s="369" t="str">
        <f>IF(D41="","",VLOOKUP(D41,'G-6 Hedgerow Data'!$B$1:$AH$15,33,FALSE))</f>
        <v>Same distinctiveness band or better</v>
      </c>
      <c r="N41" s="376">
        <f t="shared" si="2"/>
        <v>1.6816</v>
      </c>
      <c r="O41" s="32"/>
      <c r="P41" s="582">
        <v>0.2077</v>
      </c>
      <c r="Q41" s="165">
        <v>0</v>
      </c>
      <c r="R41" s="393">
        <f t="shared" si="3"/>
        <v>1.6616</v>
      </c>
      <c r="S41" s="393">
        <f t="shared" si="4"/>
        <v>0</v>
      </c>
      <c r="T41" s="393">
        <f t="shared" si="5"/>
        <v>2.5000000000000022E-3</v>
      </c>
      <c r="U41" s="415">
        <f t="shared" si="6"/>
        <v>2.0000000000000018E-2</v>
      </c>
      <c r="V41" s="119" t="s">
        <v>1939</v>
      </c>
      <c r="W41" s="120"/>
      <c r="X41" s="120"/>
      <c r="AE41" s="124" t="b">
        <f t="shared" si="0"/>
        <v>1</v>
      </c>
      <c r="AF41" s="124" t="b">
        <f t="shared" si="1"/>
        <v>0</v>
      </c>
      <c r="AH41" s="124">
        <v>32</v>
      </c>
      <c r="AJ41" s="124">
        <f t="array" ref="AJ41">IFERROR(INDEX($AH$10:$AH$258, MATCH(0, IF(TRUE=$AE$10:$AE$258, COUNTIF($AJ$9:$AJ40, $AH$10:$AH$258), ""), 0)),"")</f>
        <v>40</v>
      </c>
      <c r="AK41" s="124">
        <f t="array" ref="AK41">IFERROR(INDEX($AH$10:$AH$258, MATCH(0, IF(TRUE=$AF$10:$AF$258, COUNTIF($AK$9:$AK40, $AH$10:$AH$258), ""), 0)),"")</f>
        <v>84</v>
      </c>
      <c r="AL41" s="30" t="str">
        <f>IFERROR(INDEX('G-6 Hedgerow Data'!$BJ$3:$BJ$15,MATCH(D41,'G-6 Hedgerow Data'!$B$3:$B$15,0)),"")</f>
        <v>Hedgecond1</v>
      </c>
    </row>
    <row r="42" spans="2:38" ht="42.75" x14ac:dyDescent="0.2">
      <c r="B42" s="110">
        <v>33</v>
      </c>
      <c r="C42" s="165" t="s">
        <v>1719</v>
      </c>
      <c r="D42" s="165" t="s">
        <v>171</v>
      </c>
      <c r="E42" s="139">
        <v>1.84E-2</v>
      </c>
      <c r="F42" s="411" t="str">
        <f>IF(D42="","",VLOOKUP(D42,'G-6 Hedgerow Data'!$B$2:$AG$15,2,FALSE))</f>
        <v>Medium</v>
      </c>
      <c r="G42" s="363">
        <f>IF(D42="","",VLOOKUP(D42,'G-6 Hedgerow Data'!$B$2:$AG$15,3,FALSE))</f>
        <v>4</v>
      </c>
      <c r="H42" s="114" t="s">
        <v>67</v>
      </c>
      <c r="I42" s="363">
        <f>IFERROR(VLOOKUP(H42,'G-1 All Habitats'!$Z$2:$AA$9,2,FALSE),"")</f>
        <v>2</v>
      </c>
      <c r="J42" s="114" t="s">
        <v>1029</v>
      </c>
      <c r="K42" s="370" t="str">
        <f>IF(J42="","",IF(VLOOKUP(J42,'G-3 Multipliers'!$L$3:$N$6,2,FALSE)=0,"Spatial Data Missing",VLOOKUP(J42,'G-3 Multipliers'!$L$3:$N$6,2,FALSE)))</f>
        <v xml:space="preserve">High strategic significance </v>
      </c>
      <c r="L42" s="368">
        <f>IF(J42="","",IF(VLOOKUP(J42,'G-3 Multipliers'!$L$3:$N$6,3,FALSE)=0,"Spatial Data Missing ⚠",VLOOKUP(J42,'G-3 Multipliers'!$L$3:$N$6,3,FALSE)))</f>
        <v>1.1499999999999999</v>
      </c>
      <c r="M42" s="369" t="str">
        <f>IF(D42="","",VLOOKUP(D42,'G-6 Hedgerow Data'!$B$1:$AH$15,33,FALSE))</f>
        <v>Same distinctiveness band or better</v>
      </c>
      <c r="N42" s="376">
        <f t="shared" si="2"/>
        <v>0.16927999999999999</v>
      </c>
      <c r="O42" s="32"/>
      <c r="P42" s="582">
        <v>1.84E-2</v>
      </c>
      <c r="Q42" s="165">
        <v>0</v>
      </c>
      <c r="R42" s="393">
        <f t="shared" si="3"/>
        <v>0.16927999999999999</v>
      </c>
      <c r="S42" s="393">
        <f t="shared" si="4"/>
        <v>0</v>
      </c>
      <c r="T42" s="393">
        <f t="shared" si="5"/>
        <v>0</v>
      </c>
      <c r="U42" s="415">
        <f t="shared" si="6"/>
        <v>0</v>
      </c>
      <c r="V42" s="119" t="s">
        <v>1940</v>
      </c>
      <c r="W42" s="120"/>
      <c r="X42" s="120"/>
      <c r="AE42" s="124" t="b">
        <f t="shared" si="0"/>
        <v>1</v>
      </c>
      <c r="AF42" s="124" t="b">
        <f t="shared" si="1"/>
        <v>0</v>
      </c>
      <c r="AH42" s="124">
        <v>33</v>
      </c>
      <c r="AJ42" s="124">
        <f t="array" ref="AJ42">IFERROR(INDEX($AH$10:$AH$258, MATCH(0, IF(TRUE=$AE$10:$AE$258, COUNTIF($AJ$9:$AJ41, $AH$10:$AH$258), ""), 0)),"")</f>
        <v>41</v>
      </c>
      <c r="AK42" s="124">
        <f t="array" ref="AK42">IFERROR(INDEX($AH$10:$AH$258, MATCH(0, IF(TRUE=$AF$10:$AF$258, COUNTIF($AK$9:$AK41, $AH$10:$AH$258), ""), 0)),"")</f>
        <v>87</v>
      </c>
      <c r="AL42" s="30" t="str">
        <f>IFERROR(INDEX('G-6 Hedgerow Data'!$BJ$3:$BJ$15,MATCH(D42,'G-6 Hedgerow Data'!$B$3:$B$15,0)),"")</f>
        <v>Hedgecond1</v>
      </c>
    </row>
    <row r="43" spans="2:38" ht="42.75" x14ac:dyDescent="0.2">
      <c r="B43" s="110">
        <v>34</v>
      </c>
      <c r="C43" s="165" t="s">
        <v>1720</v>
      </c>
      <c r="D43" s="165" t="s">
        <v>171</v>
      </c>
      <c r="E43" s="139">
        <v>0.46150000000000002</v>
      </c>
      <c r="F43" s="411" t="str">
        <f>IF(D43="","",VLOOKUP(D43,'G-6 Hedgerow Data'!$B$2:$AG$15,2,FALSE))</f>
        <v>Medium</v>
      </c>
      <c r="G43" s="363">
        <f>IF(D43="","",VLOOKUP(D43,'G-6 Hedgerow Data'!$B$2:$AG$15,3,FALSE))</f>
        <v>4</v>
      </c>
      <c r="H43" s="114" t="s">
        <v>67</v>
      </c>
      <c r="I43" s="363">
        <f>IFERROR(VLOOKUP(H43,'G-1 All Habitats'!$Z$2:$AA$9,2,FALSE),"")</f>
        <v>2</v>
      </c>
      <c r="J43" s="114" t="s">
        <v>1037</v>
      </c>
      <c r="K43" s="370" t="str">
        <f>IF(J43="","",IF(VLOOKUP(J43,'G-3 Multipliers'!$L$3:$N$6,2,FALSE)=0,"Spatial Data Missing",VLOOKUP(J43,'G-3 Multipliers'!$L$3:$N$6,2,FALSE)))</f>
        <v>Low Strategic Significance</v>
      </c>
      <c r="L43" s="368">
        <f>IF(J43="","",IF(VLOOKUP(J43,'G-3 Multipliers'!$L$3:$N$6,3,FALSE)=0,"Spatial Data Missing ⚠",VLOOKUP(J43,'G-3 Multipliers'!$L$3:$N$6,3,FALSE)))</f>
        <v>1</v>
      </c>
      <c r="M43" s="369" t="str">
        <f>IF(D43="","",VLOOKUP(D43,'G-6 Hedgerow Data'!$B$1:$AH$15,33,FALSE))</f>
        <v>Same distinctiveness band or better</v>
      </c>
      <c r="N43" s="376">
        <f t="shared" si="2"/>
        <v>3.6920000000000002</v>
      </c>
      <c r="O43" s="32"/>
      <c r="P43" s="582">
        <v>0.46150000000000002</v>
      </c>
      <c r="Q43" s="165">
        <v>0</v>
      </c>
      <c r="R43" s="393">
        <f t="shared" si="3"/>
        <v>3.6920000000000002</v>
      </c>
      <c r="S43" s="393">
        <f t="shared" si="4"/>
        <v>0</v>
      </c>
      <c r="T43" s="393">
        <f t="shared" si="5"/>
        <v>0</v>
      </c>
      <c r="U43" s="415">
        <f t="shared" si="6"/>
        <v>0</v>
      </c>
      <c r="V43" s="119"/>
      <c r="W43" s="120"/>
      <c r="X43" s="120"/>
      <c r="AE43" s="124" t="b">
        <f t="shared" si="0"/>
        <v>1</v>
      </c>
      <c r="AF43" s="124" t="b">
        <f t="shared" si="1"/>
        <v>0</v>
      </c>
      <c r="AH43" s="124">
        <v>34</v>
      </c>
      <c r="AJ43" s="124">
        <f t="array" ref="AJ43">IFERROR(INDEX($AH$10:$AH$258, MATCH(0, IF(TRUE=$AE$10:$AE$258, COUNTIF($AJ$9:$AJ42, $AH$10:$AH$258), ""), 0)),"")</f>
        <v>42</v>
      </c>
      <c r="AK43" s="124">
        <f t="array" ref="AK43">IFERROR(INDEX($AH$10:$AH$258, MATCH(0, IF(TRUE=$AF$10:$AF$258, COUNTIF($AK$9:$AK42, $AH$10:$AH$258), ""), 0)),"")</f>
        <v>88</v>
      </c>
      <c r="AL43" s="30" t="str">
        <f>IFERROR(INDEX('G-6 Hedgerow Data'!$BJ$3:$BJ$15,MATCH(D43,'G-6 Hedgerow Data'!$B$3:$B$15,0)),"")</f>
        <v>Hedgecond1</v>
      </c>
    </row>
    <row r="44" spans="2:38" ht="42.75" x14ac:dyDescent="0.2">
      <c r="B44" s="110">
        <v>35</v>
      </c>
      <c r="C44" s="165" t="s">
        <v>1721</v>
      </c>
      <c r="D44" s="165" t="s">
        <v>173</v>
      </c>
      <c r="E44" s="121">
        <v>0.27979999999999999</v>
      </c>
      <c r="F44" s="411" t="str">
        <f>IF(D44="","",VLOOKUP(D44,'G-6 Hedgerow Data'!$B$2:$AG$15,2,FALSE))</f>
        <v>Medium</v>
      </c>
      <c r="G44" s="363">
        <f>IF(D44="","",VLOOKUP(D44,'G-6 Hedgerow Data'!$B$2:$AG$15,3,FALSE))</f>
        <v>4</v>
      </c>
      <c r="H44" s="114" t="s">
        <v>67</v>
      </c>
      <c r="I44" s="363">
        <f>IFERROR(VLOOKUP(H44,'G-1 All Habitats'!$Z$2:$AA$9,2,FALSE),"")</f>
        <v>2</v>
      </c>
      <c r="J44" s="114" t="s">
        <v>1029</v>
      </c>
      <c r="K44" s="370" t="str">
        <f>IF(J44="","",IF(VLOOKUP(J44,'G-3 Multipliers'!$L$3:$N$6,2,FALSE)=0,"Spatial Data Missing",VLOOKUP(J44,'G-3 Multipliers'!$L$3:$N$6,2,FALSE)))</f>
        <v xml:space="preserve">High strategic significance </v>
      </c>
      <c r="L44" s="368">
        <f>IF(J44="","",IF(VLOOKUP(J44,'G-3 Multipliers'!$L$3:$N$6,3,FALSE)=0,"Spatial Data Missing ⚠",VLOOKUP(J44,'G-3 Multipliers'!$L$3:$N$6,3,FALSE)))</f>
        <v>1.1499999999999999</v>
      </c>
      <c r="M44" s="369" t="str">
        <f>IF(D44="","",VLOOKUP(D44,'G-6 Hedgerow Data'!$B$1:$AH$15,33,FALSE))</f>
        <v>Same distinctiveness band or better</v>
      </c>
      <c r="N44" s="376">
        <f t="shared" si="2"/>
        <v>2.5741599999999996</v>
      </c>
      <c r="O44" s="32"/>
      <c r="P44" s="582">
        <v>0.27979999999999999</v>
      </c>
      <c r="Q44" s="165">
        <v>0</v>
      </c>
      <c r="R44" s="393">
        <f t="shared" si="3"/>
        <v>2.5741599999999996</v>
      </c>
      <c r="S44" s="393">
        <f t="shared" si="4"/>
        <v>0</v>
      </c>
      <c r="T44" s="393">
        <f t="shared" si="5"/>
        <v>0</v>
      </c>
      <c r="U44" s="415">
        <f t="shared" si="6"/>
        <v>0</v>
      </c>
      <c r="V44" s="119"/>
      <c r="W44" s="120"/>
      <c r="X44" s="120"/>
      <c r="AE44" s="124" t="b">
        <f t="shared" si="0"/>
        <v>1</v>
      </c>
      <c r="AF44" s="124" t="b">
        <f t="shared" si="1"/>
        <v>0</v>
      </c>
      <c r="AH44" s="124">
        <v>35</v>
      </c>
      <c r="AJ44" s="124">
        <f t="array" ref="AJ44">IFERROR(INDEX($AH$10:$AH$258, MATCH(0, IF(TRUE=$AE$10:$AE$258, COUNTIF($AJ$9:$AJ43, $AH$10:$AH$258), ""), 0)),"")</f>
        <v>43</v>
      </c>
      <c r="AK44" s="124">
        <f t="array" ref="AK44">IFERROR(INDEX($AH$10:$AH$258, MATCH(0, IF(TRUE=$AF$10:$AF$258, COUNTIF($AK$9:$AK43, $AH$10:$AH$258), ""), 0)),"")</f>
        <v>96</v>
      </c>
      <c r="AL44" s="30" t="str">
        <f>IFERROR(INDEX('G-6 Hedgerow Data'!$BJ$3:$BJ$15,MATCH(D44,'G-6 Hedgerow Data'!$B$3:$B$15,0)),"")</f>
        <v>Hedgecond1</v>
      </c>
    </row>
    <row r="45" spans="2:38" ht="42.75" x14ac:dyDescent="0.2">
      <c r="B45" s="110">
        <v>36</v>
      </c>
      <c r="C45" s="165" t="s">
        <v>1722</v>
      </c>
      <c r="D45" s="165" t="s">
        <v>176</v>
      </c>
      <c r="E45" s="121">
        <v>0.28649999999999998</v>
      </c>
      <c r="F45" s="411" t="str">
        <f>IF(D45="","",VLOOKUP(D45,'G-6 Hedgerow Data'!$B$2:$AG$15,2,FALSE))</f>
        <v>Low</v>
      </c>
      <c r="G45" s="363">
        <f>IF(D45="","",VLOOKUP(D45,'G-6 Hedgerow Data'!$B$2:$AG$15,3,FALSE))</f>
        <v>2</v>
      </c>
      <c r="H45" s="114" t="s">
        <v>68</v>
      </c>
      <c r="I45" s="363">
        <f>IFERROR(VLOOKUP(H45,'G-1 All Habitats'!$Z$2:$AA$9,2,FALSE),"")</f>
        <v>3</v>
      </c>
      <c r="J45" s="114" t="s">
        <v>1037</v>
      </c>
      <c r="K45" s="370" t="str">
        <f>IF(J45="","",IF(VLOOKUP(J45,'G-3 Multipliers'!$L$3:$N$6,2,FALSE)=0,"Spatial Data Missing",VLOOKUP(J45,'G-3 Multipliers'!$L$3:$N$6,2,FALSE)))</f>
        <v>Low Strategic Significance</v>
      </c>
      <c r="L45" s="368">
        <f>IF(J45="","",IF(VLOOKUP(J45,'G-3 Multipliers'!$L$3:$N$6,3,FALSE)=0,"Spatial Data Missing ⚠",VLOOKUP(J45,'G-3 Multipliers'!$L$3:$N$6,3,FALSE)))</f>
        <v>1</v>
      </c>
      <c r="M45" s="369" t="str">
        <f>IF(D45="","",VLOOKUP(D45,'G-6 Hedgerow Data'!$B$1:$AH$15,33,FALSE))</f>
        <v>Same distinctiveness band or better</v>
      </c>
      <c r="N45" s="376">
        <f t="shared" si="2"/>
        <v>1.7189999999999999</v>
      </c>
      <c r="O45" s="32"/>
      <c r="P45" s="582">
        <v>0</v>
      </c>
      <c r="Q45" s="165">
        <v>0.28649999999999998</v>
      </c>
      <c r="R45" s="393">
        <f t="shared" si="3"/>
        <v>0</v>
      </c>
      <c r="S45" s="393">
        <f t="shared" si="4"/>
        <v>1.7189999999999999</v>
      </c>
      <c r="T45" s="393">
        <f t="shared" si="5"/>
        <v>0</v>
      </c>
      <c r="U45" s="415">
        <f t="shared" si="6"/>
        <v>0</v>
      </c>
      <c r="V45" s="119"/>
      <c r="W45" s="120"/>
      <c r="X45" s="120"/>
      <c r="AE45" s="124" t="b">
        <f t="shared" si="0"/>
        <v>0</v>
      </c>
      <c r="AF45" s="124" t="b">
        <f t="shared" si="1"/>
        <v>1</v>
      </c>
      <c r="AH45" s="124">
        <v>36</v>
      </c>
      <c r="AJ45" s="124">
        <f t="array" ref="AJ45">IFERROR(INDEX($AH$10:$AH$258, MATCH(0, IF(TRUE=$AE$10:$AE$258, COUNTIF($AJ$9:$AJ44, $AH$10:$AH$258), ""), 0)),"")</f>
        <v>44</v>
      </c>
      <c r="AK45" s="124">
        <f t="array" ref="AK45">IFERROR(INDEX($AH$10:$AH$258, MATCH(0, IF(TRUE=$AF$10:$AF$258, COUNTIF($AK$9:$AK44, $AH$10:$AH$258), ""), 0)),"")</f>
        <v>97</v>
      </c>
      <c r="AL45" s="30" t="str">
        <f>IFERROR(INDEX('G-6 Hedgerow Data'!$BJ$3:$BJ$15,MATCH(D45,'G-6 Hedgerow Data'!$B$3:$B$15,0)),"")</f>
        <v>Hedgecond1</v>
      </c>
    </row>
    <row r="46" spans="2:38" ht="42.75" x14ac:dyDescent="0.2">
      <c r="B46" s="110">
        <v>37</v>
      </c>
      <c r="C46" s="165" t="s">
        <v>1723</v>
      </c>
      <c r="D46" s="165" t="s">
        <v>176</v>
      </c>
      <c r="E46" s="121">
        <v>0.46029999999999999</v>
      </c>
      <c r="F46" s="411" t="str">
        <f>IF(D46="","",VLOOKUP(D46,'G-6 Hedgerow Data'!$B$2:$AG$15,2,FALSE))</f>
        <v>Low</v>
      </c>
      <c r="G46" s="363">
        <f>IF(D46="","",VLOOKUP(D46,'G-6 Hedgerow Data'!$B$2:$AG$15,3,FALSE))</f>
        <v>2</v>
      </c>
      <c r="H46" s="114" t="s">
        <v>68</v>
      </c>
      <c r="I46" s="363">
        <f>IFERROR(VLOOKUP(H46,'G-1 All Habitats'!$Z$2:$AA$9,2,FALSE),"")</f>
        <v>3</v>
      </c>
      <c r="J46" s="114" t="s">
        <v>1037</v>
      </c>
      <c r="K46" s="370" t="str">
        <f>IF(J46="","",IF(VLOOKUP(J46,'G-3 Multipliers'!$L$3:$N$6,2,FALSE)=0,"Spatial Data Missing",VLOOKUP(J46,'G-3 Multipliers'!$L$3:$N$6,2,FALSE)))</f>
        <v>Low Strategic Significance</v>
      </c>
      <c r="L46" s="368">
        <f>IF(J46="","",IF(VLOOKUP(J46,'G-3 Multipliers'!$L$3:$N$6,3,FALSE)=0,"Spatial Data Missing ⚠",VLOOKUP(J46,'G-3 Multipliers'!$L$3:$N$6,3,FALSE)))</f>
        <v>1</v>
      </c>
      <c r="M46" s="369" t="str">
        <f>IF(D46="","",VLOOKUP(D46,'G-6 Hedgerow Data'!$B$1:$AH$15,33,FALSE))</f>
        <v>Same distinctiveness band or better</v>
      </c>
      <c r="N46" s="376">
        <f t="shared" si="2"/>
        <v>2.7618</v>
      </c>
      <c r="O46" s="32"/>
      <c r="P46" s="582">
        <v>0.45529999999999998</v>
      </c>
      <c r="Q46" s="165">
        <v>0</v>
      </c>
      <c r="R46" s="393">
        <f t="shared" si="3"/>
        <v>2.7317999999999998</v>
      </c>
      <c r="S46" s="393">
        <f t="shared" si="4"/>
        <v>0</v>
      </c>
      <c r="T46" s="393">
        <f t="shared" si="5"/>
        <v>5.0000000000000044E-3</v>
      </c>
      <c r="U46" s="415">
        <f t="shared" si="6"/>
        <v>3.0000000000000249E-2</v>
      </c>
      <c r="V46" s="119" t="s">
        <v>1941</v>
      </c>
      <c r="W46" s="120"/>
      <c r="X46" s="120"/>
      <c r="AE46" s="124" t="b">
        <f t="shared" si="0"/>
        <v>1</v>
      </c>
      <c r="AF46" s="124" t="b">
        <f t="shared" si="1"/>
        <v>0</v>
      </c>
      <c r="AH46" s="124">
        <v>37</v>
      </c>
      <c r="AJ46" s="124">
        <f t="array" ref="AJ46">IFERROR(INDEX($AH$10:$AH$258, MATCH(0, IF(TRUE=$AE$10:$AE$258, COUNTIF($AJ$9:$AJ45, $AH$10:$AH$258), ""), 0)),"")</f>
        <v>45</v>
      </c>
      <c r="AK46" s="124">
        <f t="array" ref="AK46">IFERROR(INDEX($AH$10:$AH$258, MATCH(0, IF(TRUE=$AF$10:$AF$258, COUNTIF($AK$9:$AK45, $AH$10:$AH$258), ""), 0)),"")</f>
        <v>100</v>
      </c>
      <c r="AL46" s="30" t="str">
        <f>IFERROR(INDEX('G-6 Hedgerow Data'!$BJ$3:$BJ$15,MATCH(D46,'G-6 Hedgerow Data'!$B$3:$B$15,0)),"")</f>
        <v>Hedgecond1</v>
      </c>
    </row>
    <row r="47" spans="2:38" ht="42.75" x14ac:dyDescent="0.2">
      <c r="B47" s="110">
        <v>38</v>
      </c>
      <c r="C47" s="165" t="s">
        <v>1724</v>
      </c>
      <c r="D47" s="165" t="s">
        <v>176</v>
      </c>
      <c r="E47" s="121">
        <v>6.4500000000000002E-2</v>
      </c>
      <c r="F47" s="411" t="str">
        <f>IF(D47="","",VLOOKUP(D47,'G-6 Hedgerow Data'!$B$2:$AG$15,2,FALSE))</f>
        <v>Low</v>
      </c>
      <c r="G47" s="363">
        <f>IF(D47="","",VLOOKUP(D47,'G-6 Hedgerow Data'!$B$2:$AG$15,3,FALSE))</f>
        <v>2</v>
      </c>
      <c r="H47" s="114" t="s">
        <v>68</v>
      </c>
      <c r="I47" s="363">
        <f>IFERROR(VLOOKUP(H47,'G-1 All Habitats'!$Z$2:$AA$9,2,FALSE),"")</f>
        <v>3</v>
      </c>
      <c r="J47" s="114" t="s">
        <v>1037</v>
      </c>
      <c r="K47" s="370" t="str">
        <f>IF(J47="","",IF(VLOOKUP(J47,'G-3 Multipliers'!$L$3:$N$6,2,FALSE)=0,"Spatial Data Missing",VLOOKUP(J47,'G-3 Multipliers'!$L$3:$N$6,2,FALSE)))</f>
        <v>Low Strategic Significance</v>
      </c>
      <c r="L47" s="368">
        <f>IF(J47="","",IF(VLOOKUP(J47,'G-3 Multipliers'!$L$3:$N$6,3,FALSE)=0,"Spatial Data Missing ⚠",VLOOKUP(J47,'G-3 Multipliers'!$L$3:$N$6,3,FALSE)))</f>
        <v>1</v>
      </c>
      <c r="M47" s="369" t="str">
        <f>IF(D47="","",VLOOKUP(D47,'G-6 Hedgerow Data'!$B$1:$AH$15,33,FALSE))</f>
        <v>Same distinctiveness band or better</v>
      </c>
      <c r="N47" s="376">
        <f t="shared" si="2"/>
        <v>0.38700000000000001</v>
      </c>
      <c r="O47" s="32"/>
      <c r="P47" s="582">
        <v>0</v>
      </c>
      <c r="Q47" s="165">
        <v>6.4500000000000002E-2</v>
      </c>
      <c r="R47" s="393">
        <f t="shared" si="3"/>
        <v>0</v>
      </c>
      <c r="S47" s="393">
        <f t="shared" si="4"/>
        <v>0.38700000000000001</v>
      </c>
      <c r="T47" s="393">
        <f t="shared" si="5"/>
        <v>0</v>
      </c>
      <c r="U47" s="415">
        <f t="shared" si="6"/>
        <v>0</v>
      </c>
      <c r="V47" s="119"/>
      <c r="W47" s="120"/>
      <c r="X47" s="120"/>
      <c r="AE47" s="124" t="b">
        <f t="shared" si="0"/>
        <v>0</v>
      </c>
      <c r="AF47" s="124" t="b">
        <f t="shared" si="1"/>
        <v>1</v>
      </c>
      <c r="AH47" s="124">
        <v>38</v>
      </c>
      <c r="AJ47" s="124">
        <f t="array" ref="AJ47">IFERROR(INDEX($AH$10:$AH$258, MATCH(0, IF(TRUE=$AE$10:$AE$258, COUNTIF($AJ$9:$AJ46, $AH$10:$AH$258), ""), 0)),"")</f>
        <v>46</v>
      </c>
      <c r="AK47" s="124">
        <f t="array" ref="AK47">IFERROR(INDEX($AH$10:$AH$258, MATCH(0, IF(TRUE=$AF$10:$AF$258, COUNTIF($AK$9:$AK46, $AH$10:$AH$258), ""), 0)),"")</f>
        <v>101</v>
      </c>
      <c r="AL47" s="30" t="str">
        <f>IFERROR(INDEX('G-6 Hedgerow Data'!$BJ$3:$BJ$15,MATCH(D47,'G-6 Hedgerow Data'!$B$3:$B$15,0)),"")</f>
        <v>Hedgecond1</v>
      </c>
    </row>
    <row r="48" spans="2:38" ht="42.75" x14ac:dyDescent="0.2">
      <c r="B48" s="110">
        <v>39</v>
      </c>
      <c r="C48" s="165" t="s">
        <v>1725</v>
      </c>
      <c r="D48" s="165" t="s">
        <v>176</v>
      </c>
      <c r="E48" s="121">
        <v>2.76E-2</v>
      </c>
      <c r="F48" s="411" t="str">
        <f>IF(D48="","",VLOOKUP(D48,'G-6 Hedgerow Data'!$B$2:$AG$15,2,FALSE))</f>
        <v>Low</v>
      </c>
      <c r="G48" s="363">
        <f>IF(D48="","",VLOOKUP(D48,'G-6 Hedgerow Data'!$B$2:$AG$15,3,FALSE))</f>
        <v>2</v>
      </c>
      <c r="H48" s="114" t="s">
        <v>68</v>
      </c>
      <c r="I48" s="363">
        <f>IFERROR(VLOOKUP(H48,'G-1 All Habitats'!$Z$2:$AA$9,2,FALSE),"")</f>
        <v>3</v>
      </c>
      <c r="J48" s="114" t="s">
        <v>1037</v>
      </c>
      <c r="K48" s="370" t="str">
        <f>IF(J48="","",IF(VLOOKUP(J48,'G-3 Multipliers'!$L$3:$N$6,2,FALSE)=0,"Spatial Data Missing",VLOOKUP(J48,'G-3 Multipliers'!$L$3:$N$6,2,FALSE)))</f>
        <v>Low Strategic Significance</v>
      </c>
      <c r="L48" s="368">
        <f>IF(J48="","",IF(VLOOKUP(J48,'G-3 Multipliers'!$L$3:$N$6,3,FALSE)=0,"Spatial Data Missing ⚠",VLOOKUP(J48,'G-3 Multipliers'!$L$3:$N$6,3,FALSE)))</f>
        <v>1</v>
      </c>
      <c r="M48" s="369" t="str">
        <f>IF(D48="","",VLOOKUP(D48,'G-6 Hedgerow Data'!$B$1:$AH$15,33,FALSE))</f>
        <v>Same distinctiveness band or better</v>
      </c>
      <c r="N48" s="376">
        <f t="shared" si="2"/>
        <v>0.1656</v>
      </c>
      <c r="O48" s="32"/>
      <c r="P48" s="122">
        <v>2.76E-2</v>
      </c>
      <c r="Q48" s="165">
        <v>0</v>
      </c>
      <c r="R48" s="393">
        <f t="shared" si="3"/>
        <v>0.1656</v>
      </c>
      <c r="S48" s="393">
        <f t="shared" si="4"/>
        <v>0</v>
      </c>
      <c r="T48" s="393">
        <f t="shared" si="5"/>
        <v>0</v>
      </c>
      <c r="U48" s="415">
        <f t="shared" si="6"/>
        <v>0</v>
      </c>
      <c r="V48" s="119"/>
      <c r="W48" s="120"/>
      <c r="X48" s="120"/>
      <c r="AE48" s="124" t="b">
        <f t="shared" si="0"/>
        <v>1</v>
      </c>
      <c r="AF48" s="124" t="b">
        <f t="shared" si="1"/>
        <v>0</v>
      </c>
      <c r="AH48" s="124">
        <v>39</v>
      </c>
      <c r="AJ48" s="124">
        <f t="array" ref="AJ48">IFERROR(INDEX($AH$10:$AH$258, MATCH(0, IF(TRUE=$AE$10:$AE$258, COUNTIF($AJ$9:$AJ47, $AH$10:$AH$258), ""), 0)),"")</f>
        <v>47</v>
      </c>
      <c r="AK48" s="124">
        <f t="array" ref="AK48">IFERROR(INDEX($AH$10:$AH$258, MATCH(0, IF(TRUE=$AF$10:$AF$258, COUNTIF($AK$9:$AK47, $AH$10:$AH$258), ""), 0)),"")</f>
        <v>105</v>
      </c>
      <c r="AL48" s="30" t="str">
        <f>IFERROR(INDEX('G-6 Hedgerow Data'!$BJ$3:$BJ$15,MATCH(D48,'G-6 Hedgerow Data'!$B$3:$B$15,0)),"")</f>
        <v>Hedgecond1</v>
      </c>
    </row>
    <row r="49" spans="2:38" ht="28.5" x14ac:dyDescent="0.2">
      <c r="B49" s="110">
        <v>40</v>
      </c>
      <c r="C49" s="165" t="s">
        <v>1726</v>
      </c>
      <c r="D49" s="165" t="s">
        <v>168</v>
      </c>
      <c r="E49" s="121">
        <v>0.72560000000000002</v>
      </c>
      <c r="F49" s="411" t="str">
        <f>IF(D49="","",VLOOKUP(D49,'G-6 Hedgerow Data'!$B$2:$AG$15,2,FALSE))</f>
        <v>High</v>
      </c>
      <c r="G49" s="363">
        <f>IF(D49="","",VLOOKUP(D49,'G-6 Hedgerow Data'!$B$2:$AG$15,3,FALSE))</f>
        <v>6</v>
      </c>
      <c r="H49" s="114" t="s">
        <v>68</v>
      </c>
      <c r="I49" s="363">
        <f>IFERROR(VLOOKUP(H49,'G-1 All Habitats'!$Z$2:$AA$9,2,FALSE),"")</f>
        <v>3</v>
      </c>
      <c r="J49" s="114" t="s">
        <v>1037</v>
      </c>
      <c r="K49" s="370" t="str">
        <f>IF(J49="","",IF(VLOOKUP(J49,'G-3 Multipliers'!$L$3:$N$6,2,FALSE)=0,"Spatial Data Missing",VLOOKUP(J49,'G-3 Multipliers'!$L$3:$N$6,2,FALSE)))</f>
        <v>Low Strategic Significance</v>
      </c>
      <c r="L49" s="368">
        <f>IF(J49="","",IF(VLOOKUP(J49,'G-3 Multipliers'!$L$3:$N$6,3,FALSE)=0,"Spatial Data Missing ⚠",VLOOKUP(J49,'G-3 Multipliers'!$L$3:$N$6,3,FALSE)))</f>
        <v>1</v>
      </c>
      <c r="M49" s="369" t="str">
        <f>IF(D49="","",VLOOKUP(D49,'G-6 Hedgerow Data'!$B$1:$AH$15,33,FALSE))</f>
        <v>Like for like or better</v>
      </c>
      <c r="N49" s="376">
        <f t="shared" si="2"/>
        <v>13.0608</v>
      </c>
      <c r="O49" s="32"/>
      <c r="P49" s="122">
        <v>0.72060000000000002</v>
      </c>
      <c r="Q49" s="165">
        <v>0</v>
      </c>
      <c r="R49" s="393">
        <f t="shared" si="3"/>
        <v>12.970800000000001</v>
      </c>
      <c r="S49" s="393">
        <f t="shared" si="4"/>
        <v>0</v>
      </c>
      <c r="T49" s="393">
        <f t="shared" si="5"/>
        <v>5.0000000000000044E-3</v>
      </c>
      <c r="U49" s="415">
        <f t="shared" si="6"/>
        <v>8.9999999999999858E-2</v>
      </c>
      <c r="V49" s="119" t="s">
        <v>1942</v>
      </c>
      <c r="W49" s="120"/>
      <c r="X49" s="120"/>
      <c r="AE49" s="124" t="b">
        <f t="shared" si="0"/>
        <v>1</v>
      </c>
      <c r="AF49" s="124" t="b">
        <f t="shared" si="1"/>
        <v>0</v>
      </c>
      <c r="AH49" s="124">
        <v>40</v>
      </c>
      <c r="AJ49" s="124">
        <f t="array" ref="AJ49">IFERROR(INDEX($AH$10:$AH$258, MATCH(0, IF(TRUE=$AE$10:$AE$258, COUNTIF($AJ$9:$AJ48, $AH$10:$AH$258), ""), 0)),"")</f>
        <v>48</v>
      </c>
      <c r="AK49" s="124">
        <f t="array" ref="AK49">IFERROR(INDEX($AH$10:$AH$258, MATCH(0, IF(TRUE=$AF$10:$AF$258, COUNTIF($AK$9:$AK48, $AH$10:$AH$258), ""), 0)),"")</f>
        <v>108</v>
      </c>
      <c r="AL49" s="30" t="str">
        <f>IFERROR(INDEX('G-6 Hedgerow Data'!$BJ$3:$BJ$15,MATCH(D49,'G-6 Hedgerow Data'!$B$3:$B$15,0)),"")</f>
        <v>Hedgecond1</v>
      </c>
    </row>
    <row r="50" spans="2:38" ht="42.75" x14ac:dyDescent="0.2">
      <c r="B50" s="110">
        <v>41</v>
      </c>
      <c r="C50" s="165" t="s">
        <v>1727</v>
      </c>
      <c r="D50" s="165" t="s">
        <v>171</v>
      </c>
      <c r="E50" s="121">
        <v>0.76729999999999998</v>
      </c>
      <c r="F50" s="411" t="str">
        <f>IF(D50="","",VLOOKUP(D50,'G-6 Hedgerow Data'!$B$2:$AG$15,2,FALSE))</f>
        <v>Medium</v>
      </c>
      <c r="G50" s="363">
        <f>IF(D50="","",VLOOKUP(D50,'G-6 Hedgerow Data'!$B$2:$AG$15,3,FALSE))</f>
        <v>4</v>
      </c>
      <c r="H50" s="114" t="s">
        <v>68</v>
      </c>
      <c r="I50" s="363">
        <f>IFERROR(VLOOKUP(H50,'G-1 All Habitats'!$Z$2:$AA$9,2,FALSE),"")</f>
        <v>3</v>
      </c>
      <c r="J50" s="114" t="s">
        <v>1029</v>
      </c>
      <c r="K50" s="370" t="str">
        <f>IF(J50="","",IF(VLOOKUP(J50,'G-3 Multipliers'!$L$3:$N$6,2,FALSE)=0,"Spatial Data Missing",VLOOKUP(J50,'G-3 Multipliers'!$L$3:$N$6,2,FALSE)))</f>
        <v xml:space="preserve">High strategic significance </v>
      </c>
      <c r="L50" s="368">
        <f>IF(J50="","",IF(VLOOKUP(J50,'G-3 Multipliers'!$L$3:$N$6,3,FALSE)=0,"Spatial Data Missing ⚠",VLOOKUP(J50,'G-3 Multipliers'!$L$3:$N$6,3,FALSE)))</f>
        <v>1.1499999999999999</v>
      </c>
      <c r="M50" s="369" t="str">
        <f>IF(D50="","",VLOOKUP(D50,'G-6 Hedgerow Data'!$B$1:$AH$15,33,FALSE))</f>
        <v>Same distinctiveness band or better</v>
      </c>
      <c r="N50" s="376">
        <f t="shared" si="2"/>
        <v>10.588739999999998</v>
      </c>
      <c r="O50" s="32"/>
      <c r="P50" s="122">
        <v>0.29170000000000001</v>
      </c>
      <c r="Q50" s="165">
        <v>0.47560000000000002</v>
      </c>
      <c r="R50" s="393">
        <f t="shared" si="3"/>
        <v>4.0254599999999998</v>
      </c>
      <c r="S50" s="393">
        <f t="shared" si="4"/>
        <v>6.5632799999999998</v>
      </c>
      <c r="T50" s="393">
        <f t="shared" si="5"/>
        <v>-5.5511151231257827E-17</v>
      </c>
      <c r="U50" s="415">
        <f t="shared" si="6"/>
        <v>-1.7763568394002505E-15</v>
      </c>
      <c r="V50" s="119"/>
      <c r="W50" s="120"/>
      <c r="X50" s="120"/>
      <c r="AE50" s="124" t="b">
        <f t="shared" si="0"/>
        <v>1</v>
      </c>
      <c r="AF50" s="124" t="b">
        <f t="shared" si="1"/>
        <v>1</v>
      </c>
      <c r="AH50" s="124">
        <v>41</v>
      </c>
      <c r="AJ50" s="124">
        <f t="array" ref="AJ50">IFERROR(INDEX($AH$10:$AH$258, MATCH(0, IF(TRUE=$AE$10:$AE$258, COUNTIF($AJ$9:$AJ49, $AH$10:$AH$258), ""), 0)),"")</f>
        <v>50</v>
      </c>
      <c r="AK50" s="124">
        <f t="array" ref="AK50">IFERROR(INDEX($AH$10:$AH$258, MATCH(0, IF(TRUE=$AF$10:$AF$258, COUNTIF($AK$9:$AK49, $AH$10:$AH$258), ""), 0)),"")</f>
        <v>110</v>
      </c>
      <c r="AL50" s="30" t="str">
        <f>IFERROR(INDEX('G-6 Hedgerow Data'!$BJ$3:$BJ$15,MATCH(D50,'G-6 Hedgerow Data'!$B$3:$B$15,0)),"")</f>
        <v>Hedgecond1</v>
      </c>
    </row>
    <row r="51" spans="2:38" ht="42.75" x14ac:dyDescent="0.2">
      <c r="B51" s="110">
        <v>42</v>
      </c>
      <c r="C51" s="165" t="s">
        <v>1728</v>
      </c>
      <c r="D51" s="165" t="s">
        <v>176</v>
      </c>
      <c r="E51" s="121">
        <v>3.4200000000000001E-2</v>
      </c>
      <c r="F51" s="411" t="str">
        <f>IF(D51="","",VLOOKUP(D51,'G-6 Hedgerow Data'!$B$2:$AG$15,2,FALSE))</f>
        <v>Low</v>
      </c>
      <c r="G51" s="363">
        <f>IF(D51="","",VLOOKUP(D51,'G-6 Hedgerow Data'!$B$2:$AG$15,3,FALSE))</f>
        <v>2</v>
      </c>
      <c r="H51" s="114" t="s">
        <v>68</v>
      </c>
      <c r="I51" s="363">
        <f>IFERROR(VLOOKUP(H51,'G-1 All Habitats'!$Z$2:$AA$9,2,FALSE),"")</f>
        <v>3</v>
      </c>
      <c r="J51" s="114" t="s">
        <v>1029</v>
      </c>
      <c r="K51" s="370" t="str">
        <f>IF(J51="","",IF(VLOOKUP(J51,'G-3 Multipliers'!$L$3:$N$6,2,FALSE)=0,"Spatial Data Missing",VLOOKUP(J51,'G-3 Multipliers'!$L$3:$N$6,2,FALSE)))</f>
        <v xml:space="preserve">High strategic significance </v>
      </c>
      <c r="L51" s="368">
        <f>IF(J51="","",IF(VLOOKUP(J51,'G-3 Multipliers'!$L$3:$N$6,3,FALSE)=0,"Spatial Data Missing ⚠",VLOOKUP(J51,'G-3 Multipliers'!$L$3:$N$6,3,FALSE)))</f>
        <v>1.1499999999999999</v>
      </c>
      <c r="M51" s="369" t="str">
        <f>IF(D51="","",VLOOKUP(D51,'G-6 Hedgerow Data'!$B$1:$AH$15,33,FALSE))</f>
        <v>Same distinctiveness band or better</v>
      </c>
      <c r="N51" s="376">
        <f t="shared" si="2"/>
        <v>0.23597999999999997</v>
      </c>
      <c r="O51" s="32"/>
      <c r="P51" s="122">
        <v>3.4200000000000001E-2</v>
      </c>
      <c r="Q51" s="165">
        <v>0</v>
      </c>
      <c r="R51" s="393">
        <f t="shared" si="3"/>
        <v>0.23597999999999997</v>
      </c>
      <c r="S51" s="393">
        <f t="shared" si="4"/>
        <v>0</v>
      </c>
      <c r="T51" s="393">
        <f t="shared" si="5"/>
        <v>0</v>
      </c>
      <c r="U51" s="415">
        <f t="shared" si="6"/>
        <v>0</v>
      </c>
      <c r="V51" s="119"/>
      <c r="W51" s="120"/>
      <c r="X51" s="120"/>
      <c r="AE51" s="124" t="b">
        <f t="shared" si="0"/>
        <v>1</v>
      </c>
      <c r="AF51" s="124" t="b">
        <f t="shared" si="1"/>
        <v>0</v>
      </c>
      <c r="AH51" s="124">
        <v>42</v>
      </c>
      <c r="AJ51" s="124">
        <f t="array" ref="AJ51">IFERROR(INDEX($AH$10:$AH$258, MATCH(0, IF(TRUE=$AE$10:$AE$258, COUNTIF($AJ$9:$AJ50, $AH$10:$AH$258), ""), 0)),"")</f>
        <v>51</v>
      </c>
      <c r="AK51" s="124">
        <f t="array" ref="AK51">IFERROR(INDEX($AH$10:$AH$258, MATCH(0, IF(TRUE=$AF$10:$AF$258, COUNTIF($AK$9:$AK50, $AH$10:$AH$258), ""), 0)),"")</f>
        <v>111</v>
      </c>
      <c r="AL51" s="30" t="str">
        <f>IFERROR(INDEX('G-6 Hedgerow Data'!$BJ$3:$BJ$15,MATCH(D51,'G-6 Hedgerow Data'!$B$3:$B$15,0)),"")</f>
        <v>Hedgecond1</v>
      </c>
    </row>
    <row r="52" spans="2:38" ht="42.75" x14ac:dyDescent="0.2">
      <c r="B52" s="110">
        <v>43</v>
      </c>
      <c r="C52" s="165" t="s">
        <v>1729</v>
      </c>
      <c r="D52" s="165" t="s">
        <v>176</v>
      </c>
      <c r="E52" s="121">
        <v>0.193</v>
      </c>
      <c r="F52" s="411" t="str">
        <f>IF(D52="","",VLOOKUP(D52,'G-6 Hedgerow Data'!$B$2:$AG$15,2,FALSE))</f>
        <v>Low</v>
      </c>
      <c r="G52" s="363">
        <f>IF(D52="","",VLOOKUP(D52,'G-6 Hedgerow Data'!$B$2:$AG$15,3,FALSE))</f>
        <v>2</v>
      </c>
      <c r="H52" s="114" t="s">
        <v>329</v>
      </c>
      <c r="I52" s="363">
        <f>IFERROR(VLOOKUP(H52,'G-1 All Habitats'!$Z$2:$AA$9,2,FALSE),"")</f>
        <v>1</v>
      </c>
      <c r="J52" s="114" t="s">
        <v>1037</v>
      </c>
      <c r="K52" s="370" t="str">
        <f>IF(J52="","",IF(VLOOKUP(J52,'G-3 Multipliers'!$L$3:$N$6,2,FALSE)=0,"Spatial Data Missing",VLOOKUP(J52,'G-3 Multipliers'!$L$3:$N$6,2,FALSE)))</f>
        <v>Low Strategic Significance</v>
      </c>
      <c r="L52" s="368">
        <f>IF(J52="","",IF(VLOOKUP(J52,'G-3 Multipliers'!$L$3:$N$6,3,FALSE)=0,"Spatial Data Missing ⚠",VLOOKUP(J52,'G-3 Multipliers'!$L$3:$N$6,3,FALSE)))</f>
        <v>1</v>
      </c>
      <c r="M52" s="369" t="str">
        <f>IF(D52="","",VLOOKUP(D52,'G-6 Hedgerow Data'!$B$1:$AH$15,33,FALSE))</f>
        <v>Same distinctiveness band or better</v>
      </c>
      <c r="N52" s="376">
        <f t="shared" si="2"/>
        <v>0.38600000000000001</v>
      </c>
      <c r="O52" s="32"/>
      <c r="P52" s="122">
        <v>0.193</v>
      </c>
      <c r="Q52" s="165">
        <v>0</v>
      </c>
      <c r="R52" s="393">
        <f t="shared" si="3"/>
        <v>0.38600000000000001</v>
      </c>
      <c r="S52" s="393">
        <f t="shared" si="4"/>
        <v>0</v>
      </c>
      <c r="T52" s="393">
        <f t="shared" si="5"/>
        <v>0</v>
      </c>
      <c r="U52" s="415">
        <f t="shared" si="6"/>
        <v>0</v>
      </c>
      <c r="V52" s="119"/>
      <c r="W52" s="120"/>
      <c r="X52" s="120"/>
      <c r="AE52" s="124" t="b">
        <f t="shared" si="0"/>
        <v>1</v>
      </c>
      <c r="AF52" s="124" t="b">
        <f t="shared" si="1"/>
        <v>0</v>
      </c>
      <c r="AH52" s="124">
        <v>43</v>
      </c>
      <c r="AJ52" s="124">
        <f t="array" ref="AJ52">IFERROR(INDEX($AH$10:$AH$258, MATCH(0, IF(TRUE=$AE$10:$AE$258, COUNTIF($AJ$9:$AJ51, $AH$10:$AH$258), ""), 0)),"")</f>
        <v>53</v>
      </c>
      <c r="AK52" s="124">
        <f t="array" ref="AK52">IFERROR(INDEX($AH$10:$AH$258, MATCH(0, IF(TRUE=$AF$10:$AF$258, COUNTIF($AK$9:$AK51, $AH$10:$AH$258), ""), 0)),"")</f>
        <v>115</v>
      </c>
      <c r="AL52" s="30" t="str">
        <f>IFERROR(INDEX('G-6 Hedgerow Data'!$BJ$3:$BJ$15,MATCH(D52,'G-6 Hedgerow Data'!$B$3:$B$15,0)),"")</f>
        <v>Hedgecond1</v>
      </c>
    </row>
    <row r="53" spans="2:38" ht="42.75" x14ac:dyDescent="0.2">
      <c r="B53" s="110">
        <v>44</v>
      </c>
      <c r="C53" s="165" t="s">
        <v>1730</v>
      </c>
      <c r="D53" s="165" t="s">
        <v>176</v>
      </c>
      <c r="E53" s="121">
        <v>7.1999999999999998E-3</v>
      </c>
      <c r="F53" s="411" t="str">
        <f>IF(D53="","",VLOOKUP(D53,'G-6 Hedgerow Data'!$B$2:$AG$15,2,FALSE))</f>
        <v>Low</v>
      </c>
      <c r="G53" s="363">
        <f>IF(D53="","",VLOOKUP(D53,'G-6 Hedgerow Data'!$B$2:$AG$15,3,FALSE))</f>
        <v>2</v>
      </c>
      <c r="H53" s="114" t="s">
        <v>329</v>
      </c>
      <c r="I53" s="363">
        <f>IFERROR(VLOOKUP(H53,'G-1 All Habitats'!$Z$2:$AA$9,2,FALSE),"")</f>
        <v>1</v>
      </c>
      <c r="J53" s="114" t="s">
        <v>1029</v>
      </c>
      <c r="K53" s="370" t="str">
        <f>IF(J53="","",IF(VLOOKUP(J53,'G-3 Multipliers'!$L$3:$N$6,2,FALSE)=0,"Spatial Data Missing",VLOOKUP(J53,'G-3 Multipliers'!$L$3:$N$6,2,FALSE)))</f>
        <v xml:space="preserve">High strategic significance </v>
      </c>
      <c r="L53" s="368">
        <f>IF(J53="","",IF(VLOOKUP(J53,'G-3 Multipliers'!$L$3:$N$6,3,FALSE)=0,"Spatial Data Missing ⚠",VLOOKUP(J53,'G-3 Multipliers'!$L$3:$N$6,3,FALSE)))</f>
        <v>1.1499999999999999</v>
      </c>
      <c r="M53" s="369" t="str">
        <f>IF(D53="","",VLOOKUP(D53,'G-6 Hedgerow Data'!$B$1:$AH$15,33,FALSE))</f>
        <v>Same distinctiveness band or better</v>
      </c>
      <c r="N53" s="376">
        <f t="shared" si="2"/>
        <v>1.6559999999999998E-2</v>
      </c>
      <c r="O53" s="32"/>
      <c r="P53" s="122">
        <v>7.1999999999999998E-3</v>
      </c>
      <c r="Q53" s="165">
        <v>0</v>
      </c>
      <c r="R53" s="393">
        <f t="shared" si="3"/>
        <v>1.6559999999999998E-2</v>
      </c>
      <c r="S53" s="393">
        <f t="shared" si="4"/>
        <v>0</v>
      </c>
      <c r="T53" s="393">
        <f t="shared" si="5"/>
        <v>0</v>
      </c>
      <c r="U53" s="415">
        <f t="shared" si="6"/>
        <v>0</v>
      </c>
      <c r="V53" s="119"/>
      <c r="W53" s="120"/>
      <c r="X53" s="120"/>
      <c r="AE53" s="124" t="b">
        <f t="shared" si="0"/>
        <v>1</v>
      </c>
      <c r="AF53" s="124" t="b">
        <f t="shared" si="1"/>
        <v>0</v>
      </c>
      <c r="AH53" s="124">
        <v>44</v>
      </c>
      <c r="AJ53" s="124">
        <f t="array" ref="AJ53">IFERROR(INDEX($AH$10:$AH$258, MATCH(0, IF(TRUE=$AE$10:$AE$258, COUNTIF($AJ$9:$AJ52, $AH$10:$AH$258), ""), 0)),"")</f>
        <v>54</v>
      </c>
      <c r="AK53" s="124">
        <f t="array" ref="AK53">IFERROR(INDEX($AH$10:$AH$258, MATCH(0, IF(TRUE=$AF$10:$AF$258, COUNTIF($AK$9:$AK52, $AH$10:$AH$258), ""), 0)),"")</f>
        <v>116</v>
      </c>
      <c r="AL53" s="30" t="str">
        <f>IFERROR(INDEX('G-6 Hedgerow Data'!$BJ$3:$BJ$15,MATCH(D53,'G-6 Hedgerow Data'!$B$3:$B$15,0)),"")</f>
        <v>Hedgecond1</v>
      </c>
    </row>
    <row r="54" spans="2:38" ht="42.75" x14ac:dyDescent="0.2">
      <c r="B54" s="110">
        <v>45</v>
      </c>
      <c r="C54" s="165" t="s">
        <v>1731</v>
      </c>
      <c r="D54" s="165" t="s">
        <v>176</v>
      </c>
      <c r="E54" s="121">
        <v>6.5100000000000005E-2</v>
      </c>
      <c r="F54" s="411" t="str">
        <f>IF(D54="","",VLOOKUP(D54,'G-6 Hedgerow Data'!$B$2:$AG$15,2,FALSE))</f>
        <v>Low</v>
      </c>
      <c r="G54" s="363">
        <f>IF(D54="","",VLOOKUP(D54,'G-6 Hedgerow Data'!$B$2:$AG$15,3,FALSE))</f>
        <v>2</v>
      </c>
      <c r="H54" s="114" t="s">
        <v>329</v>
      </c>
      <c r="I54" s="363">
        <f>IFERROR(VLOOKUP(H54,'G-1 All Habitats'!$Z$2:$AA$9,2,FALSE),"")</f>
        <v>1</v>
      </c>
      <c r="J54" s="114" t="s">
        <v>1037</v>
      </c>
      <c r="K54" s="370" t="str">
        <f>IF(J54="","",IF(VLOOKUP(J54,'G-3 Multipliers'!$L$3:$N$6,2,FALSE)=0,"Spatial Data Missing",VLOOKUP(J54,'G-3 Multipliers'!$L$3:$N$6,2,FALSE)))</f>
        <v>Low Strategic Significance</v>
      </c>
      <c r="L54" s="368">
        <f>IF(J54="","",IF(VLOOKUP(J54,'G-3 Multipliers'!$L$3:$N$6,3,FALSE)=0,"Spatial Data Missing ⚠",VLOOKUP(J54,'G-3 Multipliers'!$L$3:$N$6,3,FALSE)))</f>
        <v>1</v>
      </c>
      <c r="M54" s="369" t="str">
        <f>IF(D54="","",VLOOKUP(D54,'G-6 Hedgerow Data'!$B$1:$AH$15,33,FALSE))</f>
        <v>Same distinctiveness band or better</v>
      </c>
      <c r="N54" s="376">
        <f t="shared" si="2"/>
        <v>0.13020000000000001</v>
      </c>
      <c r="O54" s="32"/>
      <c r="P54" s="122">
        <v>6.5100000000000005E-2</v>
      </c>
      <c r="Q54" s="165">
        <v>0</v>
      </c>
      <c r="R54" s="393">
        <f t="shared" si="3"/>
        <v>0.13020000000000001</v>
      </c>
      <c r="S54" s="393">
        <f t="shared" si="4"/>
        <v>0</v>
      </c>
      <c r="T54" s="393">
        <f t="shared" si="5"/>
        <v>0</v>
      </c>
      <c r="U54" s="415">
        <f t="shared" si="6"/>
        <v>0</v>
      </c>
      <c r="V54" s="119"/>
      <c r="W54" s="120"/>
      <c r="X54" s="120"/>
      <c r="AE54" s="124" t="b">
        <f t="shared" si="0"/>
        <v>1</v>
      </c>
      <c r="AF54" s="124" t="b">
        <f t="shared" si="1"/>
        <v>0</v>
      </c>
      <c r="AH54" s="124">
        <v>45</v>
      </c>
      <c r="AJ54" s="124">
        <f t="array" ref="AJ54">IFERROR(INDEX($AH$10:$AH$258, MATCH(0, IF(TRUE=$AE$10:$AE$258, COUNTIF($AJ$9:$AJ53, $AH$10:$AH$258), ""), 0)),"")</f>
        <v>55</v>
      </c>
      <c r="AK54" s="124">
        <f t="array" ref="AK54">IFERROR(INDEX($AH$10:$AH$258, MATCH(0, IF(TRUE=$AF$10:$AF$258, COUNTIF($AK$9:$AK53, $AH$10:$AH$258), ""), 0)),"")</f>
        <v>117</v>
      </c>
      <c r="AL54" s="30" t="str">
        <f>IFERROR(INDEX('G-6 Hedgerow Data'!$BJ$3:$BJ$15,MATCH(D54,'G-6 Hedgerow Data'!$B$3:$B$15,0)),"")</f>
        <v>Hedgecond1</v>
      </c>
    </row>
    <row r="55" spans="2:38" ht="42.75" x14ac:dyDescent="0.2">
      <c r="B55" s="110">
        <v>46</v>
      </c>
      <c r="C55" s="165" t="s">
        <v>1732</v>
      </c>
      <c r="D55" s="165" t="s">
        <v>176</v>
      </c>
      <c r="E55" s="121">
        <v>2.2800000000000001E-2</v>
      </c>
      <c r="F55" s="411" t="str">
        <f>IF(D55="","",VLOOKUP(D55,'G-6 Hedgerow Data'!$B$2:$AG$15,2,FALSE))</f>
        <v>Low</v>
      </c>
      <c r="G55" s="363">
        <f>IF(D55="","",VLOOKUP(D55,'G-6 Hedgerow Data'!$B$2:$AG$15,3,FALSE))</f>
        <v>2</v>
      </c>
      <c r="H55" s="114" t="s">
        <v>329</v>
      </c>
      <c r="I55" s="363">
        <f>IFERROR(VLOOKUP(H55,'G-1 All Habitats'!$Z$2:$AA$9,2,FALSE),"")</f>
        <v>1</v>
      </c>
      <c r="J55" s="114" t="s">
        <v>1029</v>
      </c>
      <c r="K55" s="370" t="str">
        <f>IF(J55="","",IF(VLOOKUP(J55,'G-3 Multipliers'!$L$3:$N$6,2,FALSE)=0,"Spatial Data Missing",VLOOKUP(J55,'G-3 Multipliers'!$L$3:$N$6,2,FALSE)))</f>
        <v xml:space="preserve">High strategic significance </v>
      </c>
      <c r="L55" s="368">
        <f>IF(J55="","",IF(VLOOKUP(J55,'G-3 Multipliers'!$L$3:$N$6,3,FALSE)=0,"Spatial Data Missing ⚠",VLOOKUP(J55,'G-3 Multipliers'!$L$3:$N$6,3,FALSE)))</f>
        <v>1.1499999999999999</v>
      </c>
      <c r="M55" s="369" t="str">
        <f>IF(D55="","",VLOOKUP(D55,'G-6 Hedgerow Data'!$B$1:$AH$15,33,FALSE))</f>
        <v>Same distinctiveness band or better</v>
      </c>
      <c r="N55" s="376">
        <f t="shared" si="2"/>
        <v>5.2440000000000001E-2</v>
      </c>
      <c r="O55" s="32"/>
      <c r="P55" s="122">
        <v>2.2800000000000001E-2</v>
      </c>
      <c r="Q55" s="165">
        <v>0</v>
      </c>
      <c r="R55" s="393">
        <f t="shared" si="3"/>
        <v>5.2440000000000001E-2</v>
      </c>
      <c r="S55" s="393">
        <f t="shared" si="4"/>
        <v>0</v>
      </c>
      <c r="T55" s="393">
        <f t="shared" si="5"/>
        <v>0</v>
      </c>
      <c r="U55" s="415">
        <f t="shared" si="6"/>
        <v>0</v>
      </c>
      <c r="V55" s="119"/>
      <c r="W55" s="120"/>
      <c r="X55" s="120"/>
      <c r="AE55" s="124" t="b">
        <f t="shared" si="0"/>
        <v>1</v>
      </c>
      <c r="AF55" s="124" t="b">
        <f t="shared" si="1"/>
        <v>0</v>
      </c>
      <c r="AH55" s="124">
        <v>46</v>
      </c>
      <c r="AJ55" s="124">
        <f t="array" ref="AJ55">IFERROR(INDEX($AH$10:$AH$258, MATCH(0, IF(TRUE=$AE$10:$AE$258, COUNTIF($AJ$9:$AJ54, $AH$10:$AH$258), ""), 0)),"")</f>
        <v>56</v>
      </c>
      <c r="AK55" s="124">
        <f t="array" ref="AK55">IFERROR(INDEX($AH$10:$AH$258, MATCH(0, IF(TRUE=$AF$10:$AF$258, COUNTIF($AK$9:$AK54, $AH$10:$AH$258), ""), 0)),"")</f>
        <v>119</v>
      </c>
      <c r="AL55" s="30" t="str">
        <f>IFERROR(INDEX('G-6 Hedgerow Data'!$BJ$3:$BJ$15,MATCH(D55,'G-6 Hedgerow Data'!$B$3:$B$15,0)),"")</f>
        <v>Hedgecond1</v>
      </c>
    </row>
    <row r="56" spans="2:38" ht="42.75" x14ac:dyDescent="0.2">
      <c r="B56" s="110">
        <v>47</v>
      </c>
      <c r="C56" s="165" t="s">
        <v>1733</v>
      </c>
      <c r="D56" s="165" t="s">
        <v>176</v>
      </c>
      <c r="E56" s="121">
        <v>0.1263</v>
      </c>
      <c r="F56" s="411" t="str">
        <f>IF(D56="","",VLOOKUP(D56,'G-6 Hedgerow Data'!$B$2:$AG$15,2,FALSE))</f>
        <v>Low</v>
      </c>
      <c r="G56" s="363">
        <f>IF(D56="","",VLOOKUP(D56,'G-6 Hedgerow Data'!$B$2:$AG$15,3,FALSE))</f>
        <v>2</v>
      </c>
      <c r="H56" s="114" t="s">
        <v>67</v>
      </c>
      <c r="I56" s="363">
        <f>IFERROR(VLOOKUP(H56,'G-1 All Habitats'!$Z$2:$AA$9,2,FALSE),"")</f>
        <v>2</v>
      </c>
      <c r="J56" s="114" t="s">
        <v>1037</v>
      </c>
      <c r="K56" s="370" t="str">
        <f>IF(J56="","",IF(VLOOKUP(J56,'G-3 Multipliers'!$L$3:$N$6,2,FALSE)=0,"Spatial Data Missing",VLOOKUP(J56,'G-3 Multipliers'!$L$3:$N$6,2,FALSE)))</f>
        <v>Low Strategic Significance</v>
      </c>
      <c r="L56" s="368">
        <f>IF(J56="","",IF(VLOOKUP(J56,'G-3 Multipliers'!$L$3:$N$6,3,FALSE)=0,"Spatial Data Missing ⚠",VLOOKUP(J56,'G-3 Multipliers'!$L$3:$N$6,3,FALSE)))</f>
        <v>1</v>
      </c>
      <c r="M56" s="369" t="str">
        <f>IF(D56="","",VLOOKUP(D56,'G-6 Hedgerow Data'!$B$1:$AH$15,33,FALSE))</f>
        <v>Same distinctiveness band or better</v>
      </c>
      <c r="N56" s="376">
        <f t="shared" si="2"/>
        <v>0.50519999999999998</v>
      </c>
      <c r="O56" s="32"/>
      <c r="P56" s="122">
        <v>0.1263</v>
      </c>
      <c r="Q56" s="165">
        <v>0</v>
      </c>
      <c r="R56" s="393">
        <f t="shared" si="3"/>
        <v>0.50519999999999998</v>
      </c>
      <c r="S56" s="393">
        <f t="shared" si="4"/>
        <v>0</v>
      </c>
      <c r="T56" s="393">
        <f t="shared" si="5"/>
        <v>0</v>
      </c>
      <c r="U56" s="415">
        <f t="shared" si="6"/>
        <v>0</v>
      </c>
      <c r="V56" s="119"/>
      <c r="W56" s="120"/>
      <c r="X56" s="120"/>
      <c r="AE56" s="124" t="b">
        <f t="shared" si="0"/>
        <v>1</v>
      </c>
      <c r="AF56" s="124" t="b">
        <f t="shared" si="1"/>
        <v>0</v>
      </c>
      <c r="AH56" s="124">
        <v>47</v>
      </c>
      <c r="AJ56" s="124">
        <f t="array" ref="AJ56">IFERROR(INDEX($AH$10:$AH$258, MATCH(0, IF(TRUE=$AE$10:$AE$258, COUNTIF($AJ$9:$AJ55, $AH$10:$AH$258), ""), 0)),"")</f>
        <v>57</v>
      </c>
      <c r="AK56" s="124">
        <f t="array" ref="AK56">IFERROR(INDEX($AH$10:$AH$258, MATCH(0, IF(TRUE=$AF$10:$AF$258, COUNTIF($AK$9:$AK55, $AH$10:$AH$258), ""), 0)),"")</f>
        <v>120</v>
      </c>
      <c r="AL56" s="30" t="str">
        <f>IFERROR(INDEX('G-6 Hedgerow Data'!$BJ$3:$BJ$15,MATCH(D56,'G-6 Hedgerow Data'!$B$3:$B$15,0)),"")</f>
        <v>Hedgecond1</v>
      </c>
    </row>
    <row r="57" spans="2:38" ht="42.75" x14ac:dyDescent="0.2">
      <c r="B57" s="110">
        <v>48</v>
      </c>
      <c r="C57" s="165" t="s">
        <v>1734</v>
      </c>
      <c r="D57" s="165" t="s">
        <v>176</v>
      </c>
      <c r="E57" s="121">
        <v>0.18210000000000001</v>
      </c>
      <c r="F57" s="411" t="str">
        <f>IF(D57="","",VLOOKUP(D57,'G-6 Hedgerow Data'!$B$2:$AG$15,2,FALSE))</f>
        <v>Low</v>
      </c>
      <c r="G57" s="363">
        <f>IF(D57="","",VLOOKUP(D57,'G-6 Hedgerow Data'!$B$2:$AG$15,3,FALSE))</f>
        <v>2</v>
      </c>
      <c r="H57" s="114" t="s">
        <v>329</v>
      </c>
      <c r="I57" s="363">
        <f>IFERROR(VLOOKUP(H57,'G-1 All Habitats'!$Z$2:$AA$9,2,FALSE),"")</f>
        <v>1</v>
      </c>
      <c r="J57" s="114" t="s">
        <v>1037</v>
      </c>
      <c r="K57" s="370" t="str">
        <f>IF(J57="","",IF(VLOOKUP(J57,'G-3 Multipliers'!$L$3:$N$6,2,FALSE)=0,"Spatial Data Missing",VLOOKUP(J57,'G-3 Multipliers'!$L$3:$N$6,2,FALSE)))</f>
        <v>Low Strategic Significance</v>
      </c>
      <c r="L57" s="368">
        <f>IF(J57="","",IF(VLOOKUP(J57,'G-3 Multipliers'!$L$3:$N$6,3,FALSE)=0,"Spatial Data Missing ⚠",VLOOKUP(J57,'G-3 Multipliers'!$L$3:$N$6,3,FALSE)))</f>
        <v>1</v>
      </c>
      <c r="M57" s="369" t="str">
        <f>IF(D57="","",VLOOKUP(D57,'G-6 Hedgerow Data'!$B$1:$AH$15,33,FALSE))</f>
        <v>Same distinctiveness band or better</v>
      </c>
      <c r="N57" s="376">
        <f t="shared" si="2"/>
        <v>0.36420000000000002</v>
      </c>
      <c r="O57" s="32"/>
      <c r="P57" s="122">
        <v>4.3700000000000003E-2</v>
      </c>
      <c r="Q57" s="165">
        <v>0.1384</v>
      </c>
      <c r="R57" s="393">
        <f t="shared" si="3"/>
        <v>8.7400000000000005E-2</v>
      </c>
      <c r="S57" s="393">
        <f t="shared" si="4"/>
        <v>0.27679999999999999</v>
      </c>
      <c r="T57" s="393">
        <f t="shared" si="5"/>
        <v>2.7755575615628914E-17</v>
      </c>
      <c r="U57" s="415">
        <f t="shared" si="6"/>
        <v>5.5511151231257827E-17</v>
      </c>
      <c r="V57" s="119"/>
      <c r="W57" s="120"/>
      <c r="X57" s="120"/>
      <c r="AE57" s="124" t="b">
        <f t="shared" si="0"/>
        <v>1</v>
      </c>
      <c r="AF57" s="124" t="b">
        <f t="shared" si="1"/>
        <v>1</v>
      </c>
      <c r="AH57" s="124">
        <v>48</v>
      </c>
      <c r="AJ57" s="124">
        <f t="array" ref="AJ57">IFERROR(INDEX($AH$10:$AH$258, MATCH(0, IF(TRUE=$AE$10:$AE$258, COUNTIF($AJ$9:$AJ56, $AH$10:$AH$258), ""), 0)),"")</f>
        <v>58</v>
      </c>
      <c r="AK57" s="124">
        <f t="array" ref="AK57">IFERROR(INDEX($AH$10:$AH$258, MATCH(0, IF(TRUE=$AF$10:$AF$258, COUNTIF($AK$9:$AK56, $AH$10:$AH$258), ""), 0)),"")</f>
        <v>121</v>
      </c>
      <c r="AL57" s="30" t="str">
        <f>IFERROR(INDEX('G-6 Hedgerow Data'!$BJ$3:$BJ$15,MATCH(D57,'G-6 Hedgerow Data'!$B$3:$B$15,0)),"")</f>
        <v>Hedgecond1</v>
      </c>
    </row>
    <row r="58" spans="2:38" ht="42.75" x14ac:dyDescent="0.2">
      <c r="B58" s="110">
        <v>49</v>
      </c>
      <c r="C58" s="165" t="s">
        <v>1735</v>
      </c>
      <c r="D58" s="165" t="s">
        <v>176</v>
      </c>
      <c r="E58" s="121">
        <v>0.2394</v>
      </c>
      <c r="F58" s="411" t="str">
        <f>IF(D58="","",VLOOKUP(D58,'G-6 Hedgerow Data'!$B$2:$AG$15,2,FALSE))</f>
        <v>Low</v>
      </c>
      <c r="G58" s="363">
        <f>IF(D58="","",VLOOKUP(D58,'G-6 Hedgerow Data'!$B$2:$AG$15,3,FALSE))</f>
        <v>2</v>
      </c>
      <c r="H58" s="114" t="s">
        <v>329</v>
      </c>
      <c r="I58" s="363">
        <f>IFERROR(VLOOKUP(H58,'G-1 All Habitats'!$Z$2:$AA$9,2,FALSE),"")</f>
        <v>1</v>
      </c>
      <c r="J58" s="114" t="s">
        <v>1037</v>
      </c>
      <c r="K58" s="370" t="str">
        <f>IF(J58="","",IF(VLOOKUP(J58,'G-3 Multipliers'!$L$3:$N$6,2,FALSE)=0,"Spatial Data Missing",VLOOKUP(J58,'G-3 Multipliers'!$L$3:$N$6,2,FALSE)))</f>
        <v>Low Strategic Significance</v>
      </c>
      <c r="L58" s="368">
        <f>IF(J58="","",IF(VLOOKUP(J58,'G-3 Multipliers'!$L$3:$N$6,3,FALSE)=0,"Spatial Data Missing ⚠",VLOOKUP(J58,'G-3 Multipliers'!$L$3:$N$6,3,FALSE)))</f>
        <v>1</v>
      </c>
      <c r="M58" s="369" t="str">
        <f>IF(D58="","",VLOOKUP(D58,'G-6 Hedgerow Data'!$B$1:$AH$15,33,FALSE))</f>
        <v>Same distinctiveness band or better</v>
      </c>
      <c r="N58" s="376">
        <f t="shared" si="2"/>
        <v>0.4788</v>
      </c>
      <c r="O58" s="32"/>
      <c r="P58" s="122">
        <v>0</v>
      </c>
      <c r="Q58" s="165">
        <v>0.2394</v>
      </c>
      <c r="R58" s="393">
        <f t="shared" si="3"/>
        <v>0</v>
      </c>
      <c r="S58" s="393">
        <f t="shared" si="4"/>
        <v>0.4788</v>
      </c>
      <c r="T58" s="393">
        <f t="shared" si="5"/>
        <v>0</v>
      </c>
      <c r="U58" s="415">
        <f t="shared" si="6"/>
        <v>0</v>
      </c>
      <c r="V58" s="119"/>
      <c r="W58" s="120"/>
      <c r="X58" s="120"/>
      <c r="AE58" s="124" t="b">
        <f t="shared" si="0"/>
        <v>0</v>
      </c>
      <c r="AF58" s="124" t="b">
        <f t="shared" si="1"/>
        <v>1</v>
      </c>
      <c r="AH58" s="124">
        <v>49</v>
      </c>
      <c r="AJ58" s="124">
        <f t="array" ref="AJ58">IFERROR(INDEX($AH$10:$AH$258, MATCH(0, IF(TRUE=$AE$10:$AE$258, COUNTIF($AJ$9:$AJ57, $AH$10:$AH$258), ""), 0)),"")</f>
        <v>59</v>
      </c>
      <c r="AK58" s="124">
        <f t="array" ref="AK58">IFERROR(INDEX($AH$10:$AH$258, MATCH(0, IF(TRUE=$AF$10:$AF$258, COUNTIF($AK$9:$AK57, $AH$10:$AH$258), ""), 0)),"")</f>
        <v>133</v>
      </c>
      <c r="AL58" s="30" t="str">
        <f>IFERROR(INDEX('G-6 Hedgerow Data'!$BJ$3:$BJ$15,MATCH(D58,'G-6 Hedgerow Data'!$B$3:$B$15,0)),"")</f>
        <v>Hedgecond1</v>
      </c>
    </row>
    <row r="59" spans="2:38" ht="42.75" x14ac:dyDescent="0.2">
      <c r="B59" s="110">
        <v>50</v>
      </c>
      <c r="C59" s="165" t="s">
        <v>1736</v>
      </c>
      <c r="D59" s="165" t="s">
        <v>176</v>
      </c>
      <c r="E59" s="121">
        <v>0.4778</v>
      </c>
      <c r="F59" s="411" t="str">
        <f>IF(D59="","",VLOOKUP(D59,'G-6 Hedgerow Data'!$B$2:$AG$15,2,FALSE))</f>
        <v>Low</v>
      </c>
      <c r="G59" s="363">
        <f>IF(D59="","",VLOOKUP(D59,'G-6 Hedgerow Data'!$B$2:$AG$15,3,FALSE))</f>
        <v>2</v>
      </c>
      <c r="H59" s="114" t="s">
        <v>67</v>
      </c>
      <c r="I59" s="363">
        <f>IFERROR(VLOOKUP(H59,'G-1 All Habitats'!$Z$2:$AA$9,2,FALSE),"")</f>
        <v>2</v>
      </c>
      <c r="J59" s="114" t="s">
        <v>1037</v>
      </c>
      <c r="K59" s="370" t="str">
        <f>IF(J59="","",IF(VLOOKUP(J59,'G-3 Multipliers'!$L$3:$N$6,2,FALSE)=0,"Spatial Data Missing",VLOOKUP(J59,'G-3 Multipliers'!$L$3:$N$6,2,FALSE)))</f>
        <v>Low Strategic Significance</v>
      </c>
      <c r="L59" s="368">
        <f>IF(J59="","",IF(VLOOKUP(J59,'G-3 Multipliers'!$L$3:$N$6,3,FALSE)=0,"Spatial Data Missing ⚠",VLOOKUP(J59,'G-3 Multipliers'!$L$3:$N$6,3,FALSE)))</f>
        <v>1</v>
      </c>
      <c r="M59" s="369" t="str">
        <f>IF(D59="","",VLOOKUP(D59,'G-6 Hedgerow Data'!$B$1:$AH$15,33,FALSE))</f>
        <v>Same distinctiveness band or better</v>
      </c>
      <c r="N59" s="376">
        <f t="shared" si="2"/>
        <v>1.9112</v>
      </c>
      <c r="O59" s="32"/>
      <c r="P59" s="122">
        <v>0.4778</v>
      </c>
      <c r="Q59" s="165">
        <v>0</v>
      </c>
      <c r="R59" s="393">
        <f t="shared" si="3"/>
        <v>1.9112</v>
      </c>
      <c r="S59" s="393">
        <f t="shared" si="4"/>
        <v>0</v>
      </c>
      <c r="T59" s="393">
        <f t="shared" si="5"/>
        <v>0</v>
      </c>
      <c r="U59" s="415">
        <f t="shared" si="6"/>
        <v>0</v>
      </c>
      <c r="V59" s="119"/>
      <c r="W59" s="120"/>
      <c r="X59" s="120"/>
      <c r="AE59" s="124" t="b">
        <f t="shared" si="0"/>
        <v>1</v>
      </c>
      <c r="AF59" s="124" t="b">
        <f t="shared" si="1"/>
        <v>0</v>
      </c>
      <c r="AH59" s="124">
        <v>50</v>
      </c>
      <c r="AJ59" s="124">
        <f t="array" ref="AJ59">IFERROR(INDEX($AH$10:$AH$258, MATCH(0, IF(TRUE=$AE$10:$AE$258, COUNTIF($AJ$9:$AJ58, $AH$10:$AH$258), ""), 0)),"")</f>
        <v>60</v>
      </c>
      <c r="AK59" s="124">
        <f t="array" ref="AK59">IFERROR(INDEX($AH$10:$AH$258, MATCH(0, IF(TRUE=$AF$10:$AF$258, COUNTIF($AK$9:$AK58, $AH$10:$AH$258), ""), 0)),"")</f>
        <v>134</v>
      </c>
      <c r="AL59" s="30" t="str">
        <f>IFERROR(INDEX('G-6 Hedgerow Data'!$BJ$3:$BJ$15,MATCH(D59,'G-6 Hedgerow Data'!$B$3:$B$15,0)),"")</f>
        <v>Hedgecond1</v>
      </c>
    </row>
    <row r="60" spans="2:38" ht="42.75" x14ac:dyDescent="0.2">
      <c r="B60" s="110">
        <v>51</v>
      </c>
      <c r="C60" s="165" t="s">
        <v>1737</v>
      </c>
      <c r="D60" s="165" t="s">
        <v>176</v>
      </c>
      <c r="E60" s="121">
        <v>9.4899999999999998E-2</v>
      </c>
      <c r="F60" s="411" t="str">
        <f>IF(D60="","",VLOOKUP(D60,'G-6 Hedgerow Data'!$B$2:$AG$15,2,FALSE))</f>
        <v>Low</v>
      </c>
      <c r="G60" s="363">
        <f>IF(D60="","",VLOOKUP(D60,'G-6 Hedgerow Data'!$B$2:$AG$15,3,FALSE))</f>
        <v>2</v>
      </c>
      <c r="H60" s="114" t="s">
        <v>68</v>
      </c>
      <c r="I60" s="363">
        <f>IFERROR(VLOOKUP(H60,'G-1 All Habitats'!$Z$2:$AA$9,2,FALSE),"")</f>
        <v>3</v>
      </c>
      <c r="J60" s="114" t="s">
        <v>1029</v>
      </c>
      <c r="K60" s="370" t="str">
        <f>IF(J60="","",IF(VLOOKUP(J60,'G-3 Multipliers'!$L$3:$N$6,2,FALSE)=0,"Spatial Data Missing",VLOOKUP(J60,'G-3 Multipliers'!$L$3:$N$6,2,FALSE)))</f>
        <v xml:space="preserve">High strategic significance </v>
      </c>
      <c r="L60" s="368">
        <f>IF(J60="","",IF(VLOOKUP(J60,'G-3 Multipliers'!$L$3:$N$6,3,FALSE)=0,"Spatial Data Missing ⚠",VLOOKUP(J60,'G-3 Multipliers'!$L$3:$N$6,3,FALSE)))</f>
        <v>1.1499999999999999</v>
      </c>
      <c r="M60" s="369" t="str">
        <f>IF(D60="","",VLOOKUP(D60,'G-6 Hedgerow Data'!$B$1:$AH$15,33,FALSE))</f>
        <v>Same distinctiveness band or better</v>
      </c>
      <c r="N60" s="376">
        <f t="shared" si="2"/>
        <v>0.65481</v>
      </c>
      <c r="O60" s="32"/>
      <c r="P60" s="122">
        <v>9.4899999999999998E-2</v>
      </c>
      <c r="Q60" s="165">
        <v>0</v>
      </c>
      <c r="R60" s="393">
        <f t="shared" si="3"/>
        <v>0.65481</v>
      </c>
      <c r="S60" s="393">
        <f t="shared" si="4"/>
        <v>0</v>
      </c>
      <c r="T60" s="393">
        <f t="shared" si="5"/>
        <v>0</v>
      </c>
      <c r="U60" s="415">
        <f t="shared" si="6"/>
        <v>0</v>
      </c>
      <c r="V60" s="119"/>
      <c r="W60" s="120"/>
      <c r="X60" s="120"/>
      <c r="AE60" s="124" t="b">
        <f t="shared" si="0"/>
        <v>1</v>
      </c>
      <c r="AF60" s="124" t="b">
        <f t="shared" si="1"/>
        <v>0</v>
      </c>
      <c r="AH60" s="124">
        <v>51</v>
      </c>
      <c r="AJ60" s="124">
        <f t="array" ref="AJ60">IFERROR(INDEX($AH$10:$AH$258, MATCH(0, IF(TRUE=$AE$10:$AE$258, COUNTIF($AJ$9:$AJ59, $AH$10:$AH$258), ""), 0)),"")</f>
        <v>62</v>
      </c>
      <c r="AK60" s="124">
        <f t="array" ref="AK60">IFERROR(INDEX($AH$10:$AH$258, MATCH(0, IF(TRUE=$AF$10:$AF$258, COUNTIF($AK$9:$AK59, $AH$10:$AH$258), ""), 0)),"")</f>
        <v>137</v>
      </c>
      <c r="AL60" s="30" t="str">
        <f>IFERROR(INDEX('G-6 Hedgerow Data'!$BJ$3:$BJ$15,MATCH(D60,'G-6 Hedgerow Data'!$B$3:$B$15,0)),"")</f>
        <v>Hedgecond1</v>
      </c>
    </row>
    <row r="61" spans="2:38" ht="42.75" x14ac:dyDescent="0.2">
      <c r="B61" s="110">
        <v>52</v>
      </c>
      <c r="C61" s="165" t="s">
        <v>1738</v>
      </c>
      <c r="D61" s="165" t="s">
        <v>176</v>
      </c>
      <c r="E61" s="121">
        <v>0.40050000000000002</v>
      </c>
      <c r="F61" s="411" t="str">
        <f>IF(D61="","",VLOOKUP(D61,'G-6 Hedgerow Data'!$B$2:$AG$15,2,FALSE))</f>
        <v>Low</v>
      </c>
      <c r="G61" s="363">
        <f>IF(D61="","",VLOOKUP(D61,'G-6 Hedgerow Data'!$B$2:$AG$15,3,FALSE))</f>
        <v>2</v>
      </c>
      <c r="H61" s="114" t="s">
        <v>329</v>
      </c>
      <c r="I61" s="363">
        <f>IFERROR(VLOOKUP(H61,'G-1 All Habitats'!$Z$2:$AA$9,2,FALSE),"")</f>
        <v>1</v>
      </c>
      <c r="J61" s="114" t="s">
        <v>1037</v>
      </c>
      <c r="K61" s="370" t="str">
        <f>IF(J61="","",IF(VLOOKUP(J61,'G-3 Multipliers'!$L$3:$N$6,2,FALSE)=0,"Spatial Data Missing",VLOOKUP(J61,'G-3 Multipliers'!$L$3:$N$6,2,FALSE)))</f>
        <v>Low Strategic Significance</v>
      </c>
      <c r="L61" s="368">
        <f>IF(J61="","",IF(VLOOKUP(J61,'G-3 Multipliers'!$L$3:$N$6,3,FALSE)=0,"Spatial Data Missing ⚠",VLOOKUP(J61,'G-3 Multipliers'!$L$3:$N$6,3,FALSE)))</f>
        <v>1</v>
      </c>
      <c r="M61" s="369" t="str">
        <f>IF(D61="","",VLOOKUP(D61,'G-6 Hedgerow Data'!$B$1:$AH$15,33,FALSE))</f>
        <v>Same distinctiveness band or better</v>
      </c>
      <c r="N61" s="376">
        <f t="shared" si="2"/>
        <v>0.80100000000000005</v>
      </c>
      <c r="O61" s="32"/>
      <c r="P61" s="122">
        <v>0</v>
      </c>
      <c r="Q61" s="165">
        <v>0.40050000000000002</v>
      </c>
      <c r="R61" s="393">
        <f t="shared" si="3"/>
        <v>0</v>
      </c>
      <c r="S61" s="393">
        <f t="shared" si="4"/>
        <v>0.80100000000000005</v>
      </c>
      <c r="T61" s="393">
        <f t="shared" si="5"/>
        <v>0</v>
      </c>
      <c r="U61" s="415">
        <f t="shared" si="6"/>
        <v>0</v>
      </c>
      <c r="V61" s="119"/>
      <c r="W61" s="120"/>
      <c r="X61" s="120"/>
      <c r="AE61" s="124" t="b">
        <f t="shared" si="0"/>
        <v>0</v>
      </c>
      <c r="AF61" s="124" t="b">
        <f t="shared" si="1"/>
        <v>1</v>
      </c>
      <c r="AH61" s="124">
        <v>52</v>
      </c>
      <c r="AJ61" s="124">
        <f t="array" ref="AJ61">IFERROR(INDEX($AH$10:$AH$258, MATCH(0, IF(TRUE=$AE$10:$AE$258, COUNTIF($AJ$9:$AJ60, $AH$10:$AH$258), ""), 0)),"")</f>
        <v>63</v>
      </c>
      <c r="AK61" s="124">
        <f t="array" ref="AK61">IFERROR(INDEX($AH$10:$AH$258, MATCH(0, IF(TRUE=$AF$10:$AF$258, COUNTIF($AK$9:$AK60, $AH$10:$AH$258), ""), 0)),"")</f>
        <v>152</v>
      </c>
      <c r="AL61" s="30" t="str">
        <f>IFERROR(INDEX('G-6 Hedgerow Data'!$BJ$3:$BJ$15,MATCH(D61,'G-6 Hedgerow Data'!$B$3:$B$15,0)),"")</f>
        <v>Hedgecond1</v>
      </c>
    </row>
    <row r="62" spans="2:38" ht="42.75" x14ac:dyDescent="0.2">
      <c r="B62" s="110">
        <v>53</v>
      </c>
      <c r="C62" s="165" t="s">
        <v>1739</v>
      </c>
      <c r="D62" s="165" t="s">
        <v>176</v>
      </c>
      <c r="E62" s="121">
        <v>0.17319999999999999</v>
      </c>
      <c r="F62" s="411" t="str">
        <f>IF(D62="","",VLOOKUP(D62,'G-6 Hedgerow Data'!$B$2:$AG$15,2,FALSE))</f>
        <v>Low</v>
      </c>
      <c r="G62" s="363">
        <f>IF(D62="","",VLOOKUP(D62,'G-6 Hedgerow Data'!$B$2:$AG$15,3,FALSE))</f>
        <v>2</v>
      </c>
      <c r="H62" s="114" t="s">
        <v>329</v>
      </c>
      <c r="I62" s="363">
        <f>IFERROR(VLOOKUP(H62,'G-1 All Habitats'!$Z$2:$AA$9,2,FALSE),"")</f>
        <v>1</v>
      </c>
      <c r="J62" s="114" t="s">
        <v>1037</v>
      </c>
      <c r="K62" s="370" t="str">
        <f>IF(J62="","",IF(VLOOKUP(J62,'G-3 Multipliers'!$L$3:$N$6,2,FALSE)=0,"Spatial Data Missing",VLOOKUP(J62,'G-3 Multipliers'!$L$3:$N$6,2,FALSE)))</f>
        <v>Low Strategic Significance</v>
      </c>
      <c r="L62" s="368">
        <f>IF(J62="","",IF(VLOOKUP(J62,'G-3 Multipliers'!$L$3:$N$6,3,FALSE)=0,"Spatial Data Missing ⚠",VLOOKUP(J62,'G-3 Multipliers'!$L$3:$N$6,3,FALSE)))</f>
        <v>1</v>
      </c>
      <c r="M62" s="369" t="str">
        <f>IF(D62="","",VLOOKUP(D62,'G-6 Hedgerow Data'!$B$1:$AH$15,33,FALSE))</f>
        <v>Same distinctiveness band or better</v>
      </c>
      <c r="N62" s="376">
        <f t="shared" si="2"/>
        <v>0.34639999999999999</v>
      </c>
      <c r="O62" s="32"/>
      <c r="P62" s="122">
        <v>7.4700000000000003E-2</v>
      </c>
      <c r="Q62" s="165">
        <v>9.35E-2</v>
      </c>
      <c r="R62" s="393">
        <f t="shared" si="3"/>
        <v>0.14940000000000001</v>
      </c>
      <c r="S62" s="393">
        <f t="shared" si="4"/>
        <v>0.187</v>
      </c>
      <c r="T62" s="393">
        <f t="shared" si="5"/>
        <v>4.9999999999999906E-3</v>
      </c>
      <c r="U62" s="415">
        <f t="shared" si="6"/>
        <v>9.9999999999999811E-3</v>
      </c>
      <c r="V62" s="119" t="s">
        <v>1943</v>
      </c>
      <c r="W62" s="120"/>
      <c r="X62" s="120"/>
      <c r="AE62" s="124" t="b">
        <f t="shared" si="0"/>
        <v>1</v>
      </c>
      <c r="AF62" s="124" t="b">
        <f t="shared" si="1"/>
        <v>1</v>
      </c>
      <c r="AH62" s="124">
        <v>53</v>
      </c>
      <c r="AJ62" s="124">
        <f t="array" ref="AJ62">IFERROR(INDEX($AH$10:$AH$258, MATCH(0, IF(TRUE=$AE$10:$AE$258, COUNTIF($AJ$9:$AJ61, $AH$10:$AH$258), ""), 0)),"")</f>
        <v>64</v>
      </c>
      <c r="AK62" s="124">
        <f t="array" ref="AK62">IFERROR(INDEX($AH$10:$AH$258, MATCH(0, IF(TRUE=$AF$10:$AF$258, COUNTIF($AK$9:$AK61, $AH$10:$AH$258), ""), 0)),"")</f>
        <v>153</v>
      </c>
      <c r="AL62" s="30" t="str">
        <f>IFERROR(INDEX('G-6 Hedgerow Data'!$BJ$3:$BJ$15,MATCH(D62,'G-6 Hedgerow Data'!$B$3:$B$15,0)),"")</f>
        <v>Hedgecond1</v>
      </c>
    </row>
    <row r="63" spans="2:38" ht="42.75" x14ac:dyDescent="0.2">
      <c r="B63" s="110">
        <v>54</v>
      </c>
      <c r="C63" s="165" t="s">
        <v>1740</v>
      </c>
      <c r="D63" s="165" t="s">
        <v>176</v>
      </c>
      <c r="E63" s="121">
        <v>0.45040000000000002</v>
      </c>
      <c r="F63" s="411" t="str">
        <f>IF(D63="","",VLOOKUP(D63,'G-6 Hedgerow Data'!$B$2:$AG$15,2,FALSE))</f>
        <v>Low</v>
      </c>
      <c r="G63" s="363">
        <f>IF(D63="","",VLOOKUP(D63,'G-6 Hedgerow Data'!$B$2:$AG$15,3,FALSE))</f>
        <v>2</v>
      </c>
      <c r="H63" s="114" t="s">
        <v>67</v>
      </c>
      <c r="I63" s="363">
        <f>IFERROR(VLOOKUP(H63,'G-1 All Habitats'!$Z$2:$AA$9,2,FALSE),"")</f>
        <v>2</v>
      </c>
      <c r="J63" s="114" t="s">
        <v>1037</v>
      </c>
      <c r="K63" s="370" t="str">
        <f>IF(J63="","",IF(VLOOKUP(J63,'G-3 Multipliers'!$L$3:$N$6,2,FALSE)=0,"Spatial Data Missing",VLOOKUP(J63,'G-3 Multipliers'!$L$3:$N$6,2,FALSE)))</f>
        <v>Low Strategic Significance</v>
      </c>
      <c r="L63" s="368">
        <f>IF(J63="","",IF(VLOOKUP(J63,'G-3 Multipliers'!$L$3:$N$6,3,FALSE)=0,"Spatial Data Missing ⚠",VLOOKUP(J63,'G-3 Multipliers'!$L$3:$N$6,3,FALSE)))</f>
        <v>1</v>
      </c>
      <c r="M63" s="369" t="str">
        <f>IF(D63="","",VLOOKUP(D63,'G-6 Hedgerow Data'!$B$1:$AH$15,33,FALSE))</f>
        <v>Same distinctiveness band or better</v>
      </c>
      <c r="N63" s="376">
        <f t="shared" si="2"/>
        <v>1.8016000000000001</v>
      </c>
      <c r="O63" s="32"/>
      <c r="P63" s="122">
        <v>0.45040000000000002</v>
      </c>
      <c r="Q63" s="165">
        <v>0</v>
      </c>
      <c r="R63" s="393">
        <f t="shared" si="3"/>
        <v>1.8016000000000001</v>
      </c>
      <c r="S63" s="393">
        <f t="shared" si="4"/>
        <v>0</v>
      </c>
      <c r="T63" s="393">
        <f t="shared" si="5"/>
        <v>0</v>
      </c>
      <c r="U63" s="415">
        <f t="shared" si="6"/>
        <v>0</v>
      </c>
      <c r="V63" s="119"/>
      <c r="W63" s="120"/>
      <c r="X63" s="120"/>
      <c r="AE63" s="124" t="b">
        <f t="shared" si="0"/>
        <v>1</v>
      </c>
      <c r="AF63" s="124" t="b">
        <f t="shared" si="1"/>
        <v>0</v>
      </c>
      <c r="AH63" s="124">
        <v>54</v>
      </c>
      <c r="AJ63" s="124">
        <f t="array" ref="AJ63">IFERROR(INDEX($AH$10:$AH$258, MATCH(0, IF(TRUE=$AE$10:$AE$258, COUNTIF($AJ$9:$AJ62, $AH$10:$AH$258), ""), 0)),"")</f>
        <v>65</v>
      </c>
      <c r="AK63" s="124">
        <f t="array" ref="AK63">IFERROR(INDEX($AH$10:$AH$258, MATCH(0, IF(TRUE=$AF$10:$AF$258, COUNTIF($AK$9:$AK62, $AH$10:$AH$258), ""), 0)),"")</f>
        <v>156</v>
      </c>
      <c r="AL63" s="30" t="str">
        <f>IFERROR(INDEX('G-6 Hedgerow Data'!$BJ$3:$BJ$15,MATCH(D63,'G-6 Hedgerow Data'!$B$3:$B$15,0)),"")</f>
        <v>Hedgecond1</v>
      </c>
    </row>
    <row r="64" spans="2:38" ht="42.75" x14ac:dyDescent="0.2">
      <c r="B64" s="110">
        <v>55</v>
      </c>
      <c r="C64" s="165" t="s">
        <v>1741</v>
      </c>
      <c r="D64" s="165" t="s">
        <v>171</v>
      </c>
      <c r="E64" s="121">
        <v>0.65290000000000004</v>
      </c>
      <c r="F64" s="411" t="str">
        <f>IF(D64="","",VLOOKUP(D64,'G-6 Hedgerow Data'!$B$2:$AG$15,2,FALSE))</f>
        <v>Medium</v>
      </c>
      <c r="G64" s="363">
        <f>IF(D64="","",VLOOKUP(D64,'G-6 Hedgerow Data'!$B$2:$AG$15,3,FALSE))</f>
        <v>4</v>
      </c>
      <c r="H64" s="114" t="s">
        <v>68</v>
      </c>
      <c r="I64" s="363">
        <f>IFERROR(VLOOKUP(H64,'G-1 All Habitats'!$Z$2:$AA$9,2,FALSE),"")</f>
        <v>3</v>
      </c>
      <c r="J64" s="114" t="s">
        <v>1037</v>
      </c>
      <c r="K64" s="370" t="str">
        <f>IF(J64="","",IF(VLOOKUP(J64,'G-3 Multipliers'!$L$3:$N$6,2,FALSE)=0,"Spatial Data Missing",VLOOKUP(J64,'G-3 Multipliers'!$L$3:$N$6,2,FALSE)))</f>
        <v>Low Strategic Significance</v>
      </c>
      <c r="L64" s="368">
        <f>IF(J64="","",IF(VLOOKUP(J64,'G-3 Multipliers'!$L$3:$N$6,3,FALSE)=0,"Spatial Data Missing ⚠",VLOOKUP(J64,'G-3 Multipliers'!$L$3:$N$6,3,FALSE)))</f>
        <v>1</v>
      </c>
      <c r="M64" s="369" t="str">
        <f>IF(D64="","",VLOOKUP(D64,'G-6 Hedgerow Data'!$B$1:$AH$15,33,FALSE))</f>
        <v>Same distinctiveness band or better</v>
      </c>
      <c r="N64" s="376">
        <f t="shared" si="2"/>
        <v>7.8348000000000004</v>
      </c>
      <c r="O64" s="32"/>
      <c r="P64" s="122">
        <v>4.02E-2</v>
      </c>
      <c r="Q64" s="165">
        <v>0.61</v>
      </c>
      <c r="R64" s="393">
        <f t="shared" si="3"/>
        <v>0.4824</v>
      </c>
      <c r="S64" s="393">
        <f t="shared" si="4"/>
        <v>7.32</v>
      </c>
      <c r="T64" s="393">
        <f t="shared" si="5"/>
        <v>2.7000000000000357E-3</v>
      </c>
      <c r="U64" s="415">
        <f t="shared" si="6"/>
        <v>3.2399999999999984E-2</v>
      </c>
      <c r="V64" s="119" t="s">
        <v>1944</v>
      </c>
      <c r="W64" s="120"/>
      <c r="X64" s="120"/>
      <c r="AE64" s="124" t="b">
        <f t="shared" si="0"/>
        <v>1</v>
      </c>
      <c r="AF64" s="124" t="b">
        <f t="shared" si="1"/>
        <v>1</v>
      </c>
      <c r="AH64" s="124">
        <v>55</v>
      </c>
      <c r="AJ64" s="124">
        <f t="array" ref="AJ64">IFERROR(INDEX($AH$10:$AH$258, MATCH(0, IF(TRUE=$AE$10:$AE$258, COUNTIF($AJ$9:$AJ63, $AH$10:$AH$258), ""), 0)),"")</f>
        <v>66</v>
      </c>
      <c r="AK64" s="124">
        <f t="array" ref="AK64">IFERROR(INDEX($AH$10:$AH$258, MATCH(0, IF(TRUE=$AF$10:$AF$258, COUNTIF($AK$9:$AK63, $AH$10:$AH$258), ""), 0)),"")</f>
        <v>157</v>
      </c>
      <c r="AL64" s="30" t="str">
        <f>IFERROR(INDEX('G-6 Hedgerow Data'!$BJ$3:$BJ$15,MATCH(D64,'G-6 Hedgerow Data'!$B$3:$B$15,0)),"")</f>
        <v>Hedgecond1</v>
      </c>
    </row>
    <row r="65" spans="2:38" ht="42.75" x14ac:dyDescent="0.2">
      <c r="B65" s="110">
        <v>56</v>
      </c>
      <c r="C65" s="165" t="s">
        <v>1742</v>
      </c>
      <c r="D65" s="165" t="s">
        <v>173</v>
      </c>
      <c r="E65" s="121">
        <v>4.8399999999999999E-2</v>
      </c>
      <c r="F65" s="411" t="str">
        <f>IF(D65="","",VLOOKUP(D65,'G-6 Hedgerow Data'!$B$2:$AG$15,2,FALSE))</f>
        <v>Medium</v>
      </c>
      <c r="G65" s="363">
        <f>IF(D65="","",VLOOKUP(D65,'G-6 Hedgerow Data'!$B$2:$AG$15,3,FALSE))</f>
        <v>4</v>
      </c>
      <c r="H65" s="114" t="s">
        <v>67</v>
      </c>
      <c r="I65" s="363">
        <f>IFERROR(VLOOKUP(H65,'G-1 All Habitats'!$Z$2:$AA$9,2,FALSE),"")</f>
        <v>2</v>
      </c>
      <c r="J65" s="114" t="s">
        <v>1029</v>
      </c>
      <c r="K65" s="370" t="str">
        <f>IF(J65="","",IF(VLOOKUP(J65,'G-3 Multipliers'!$L$3:$N$6,2,FALSE)=0,"Spatial Data Missing",VLOOKUP(J65,'G-3 Multipliers'!$L$3:$N$6,2,FALSE)))</f>
        <v xml:space="preserve">High strategic significance </v>
      </c>
      <c r="L65" s="368">
        <f>IF(J65="","",IF(VLOOKUP(J65,'G-3 Multipliers'!$L$3:$N$6,3,FALSE)=0,"Spatial Data Missing ⚠",VLOOKUP(J65,'G-3 Multipliers'!$L$3:$N$6,3,FALSE)))</f>
        <v>1.1499999999999999</v>
      </c>
      <c r="M65" s="369" t="str">
        <f>IF(D65="","",VLOOKUP(D65,'G-6 Hedgerow Data'!$B$1:$AH$15,33,FALSE))</f>
        <v>Same distinctiveness band or better</v>
      </c>
      <c r="N65" s="376">
        <f t="shared" si="2"/>
        <v>0.44527999999999995</v>
      </c>
      <c r="O65" s="32"/>
      <c r="P65" s="122">
        <v>4.8399999999999999E-2</v>
      </c>
      <c r="Q65" s="165">
        <v>0</v>
      </c>
      <c r="R65" s="393">
        <f t="shared" si="3"/>
        <v>0.44527999999999995</v>
      </c>
      <c r="S65" s="393">
        <f t="shared" si="4"/>
        <v>0</v>
      </c>
      <c r="T65" s="393">
        <f t="shared" si="5"/>
        <v>0</v>
      </c>
      <c r="U65" s="415">
        <f t="shared" si="6"/>
        <v>0</v>
      </c>
      <c r="V65" s="119"/>
      <c r="W65" s="120"/>
      <c r="X65" s="120"/>
      <c r="AE65" s="124" t="b">
        <f t="shared" si="0"/>
        <v>1</v>
      </c>
      <c r="AF65" s="124" t="b">
        <f t="shared" si="1"/>
        <v>0</v>
      </c>
      <c r="AH65" s="124">
        <v>56</v>
      </c>
      <c r="AJ65" s="124">
        <f t="array" ref="AJ65">IFERROR(INDEX($AH$10:$AH$258, MATCH(0, IF(TRUE=$AE$10:$AE$258, COUNTIF($AJ$9:$AJ64, $AH$10:$AH$258), ""), 0)),"")</f>
        <v>67</v>
      </c>
      <c r="AK65" s="124">
        <f t="array" ref="AK65">IFERROR(INDEX($AH$10:$AH$258, MATCH(0, IF(TRUE=$AF$10:$AF$258, COUNTIF($AK$9:$AK64, $AH$10:$AH$258), ""), 0)),"")</f>
        <v>158</v>
      </c>
      <c r="AL65" s="30" t="str">
        <f>IFERROR(INDEX('G-6 Hedgerow Data'!$BJ$3:$BJ$15,MATCH(D65,'G-6 Hedgerow Data'!$B$3:$B$15,0)),"")</f>
        <v>Hedgecond1</v>
      </c>
    </row>
    <row r="66" spans="2:38" ht="42.75" x14ac:dyDescent="0.2">
      <c r="B66" s="110">
        <v>57</v>
      </c>
      <c r="C66" s="165" t="s">
        <v>1743</v>
      </c>
      <c r="D66" s="165" t="s">
        <v>173</v>
      </c>
      <c r="E66" s="121">
        <v>2.7400000000000001E-2</v>
      </c>
      <c r="F66" s="411" t="str">
        <f>IF(D66="","",VLOOKUP(D66,'G-6 Hedgerow Data'!$B$2:$AG$15,2,FALSE))</f>
        <v>Medium</v>
      </c>
      <c r="G66" s="363">
        <f>IF(D66="","",VLOOKUP(D66,'G-6 Hedgerow Data'!$B$2:$AG$15,3,FALSE))</f>
        <v>4</v>
      </c>
      <c r="H66" s="114" t="s">
        <v>67</v>
      </c>
      <c r="I66" s="363">
        <f>IFERROR(VLOOKUP(H66,'G-1 All Habitats'!$Z$2:$AA$9,2,FALSE),"")</f>
        <v>2</v>
      </c>
      <c r="J66" s="114" t="s">
        <v>1029</v>
      </c>
      <c r="K66" s="370" t="str">
        <f>IF(J66="","",IF(VLOOKUP(J66,'G-3 Multipliers'!$L$3:$N$6,2,FALSE)=0,"Spatial Data Missing",VLOOKUP(J66,'G-3 Multipliers'!$L$3:$N$6,2,FALSE)))</f>
        <v xml:space="preserve">High strategic significance </v>
      </c>
      <c r="L66" s="368">
        <f>IF(J66="","",IF(VLOOKUP(J66,'G-3 Multipliers'!$L$3:$N$6,3,FALSE)=0,"Spatial Data Missing ⚠",VLOOKUP(J66,'G-3 Multipliers'!$L$3:$N$6,3,FALSE)))</f>
        <v>1.1499999999999999</v>
      </c>
      <c r="M66" s="369" t="str">
        <f>IF(D66="","",VLOOKUP(D66,'G-6 Hedgerow Data'!$B$1:$AH$15,33,FALSE))</f>
        <v>Same distinctiveness band or better</v>
      </c>
      <c r="N66" s="376">
        <f t="shared" si="2"/>
        <v>0.25207999999999997</v>
      </c>
      <c r="O66" s="32"/>
      <c r="P66" s="122">
        <v>2.7400000000000001E-2</v>
      </c>
      <c r="Q66" s="165">
        <v>0</v>
      </c>
      <c r="R66" s="393">
        <f t="shared" si="3"/>
        <v>0.25207999999999997</v>
      </c>
      <c r="S66" s="393">
        <f t="shared" si="4"/>
        <v>0</v>
      </c>
      <c r="T66" s="393">
        <f t="shared" si="5"/>
        <v>0</v>
      </c>
      <c r="U66" s="415">
        <f t="shared" si="6"/>
        <v>0</v>
      </c>
      <c r="V66" s="119"/>
      <c r="W66" s="120"/>
      <c r="X66" s="120"/>
      <c r="AE66" s="124" t="b">
        <f t="shared" si="0"/>
        <v>1</v>
      </c>
      <c r="AF66" s="124" t="b">
        <f t="shared" si="1"/>
        <v>0</v>
      </c>
      <c r="AH66" s="124">
        <v>57</v>
      </c>
      <c r="AJ66" s="124">
        <f t="array" ref="AJ66">IFERROR(INDEX($AH$10:$AH$258, MATCH(0, IF(TRUE=$AE$10:$AE$258, COUNTIF($AJ$9:$AJ65, $AH$10:$AH$258), ""), 0)),"")</f>
        <v>68</v>
      </c>
      <c r="AK66" s="124">
        <f t="array" ref="AK66">IFERROR(INDEX($AH$10:$AH$258, MATCH(0, IF(TRUE=$AF$10:$AF$258, COUNTIF($AK$9:$AK65, $AH$10:$AH$258), ""), 0)),"")</f>
        <v>162</v>
      </c>
      <c r="AL66" s="30" t="str">
        <f>IFERROR(INDEX('G-6 Hedgerow Data'!$BJ$3:$BJ$15,MATCH(D66,'G-6 Hedgerow Data'!$B$3:$B$15,0)),"")</f>
        <v>Hedgecond1</v>
      </c>
    </row>
    <row r="67" spans="2:38" ht="42.75" x14ac:dyDescent="0.2">
      <c r="B67" s="110">
        <v>58</v>
      </c>
      <c r="C67" s="165" t="s">
        <v>1744</v>
      </c>
      <c r="D67" s="165" t="s">
        <v>176</v>
      </c>
      <c r="E67" s="121">
        <v>0.24079999999999999</v>
      </c>
      <c r="F67" s="411" t="str">
        <f>IF(D67="","",VLOOKUP(D67,'G-6 Hedgerow Data'!$B$2:$AG$15,2,FALSE))</f>
        <v>Low</v>
      </c>
      <c r="G67" s="363">
        <f>IF(D67="","",VLOOKUP(D67,'G-6 Hedgerow Data'!$B$2:$AG$15,3,FALSE))</f>
        <v>2</v>
      </c>
      <c r="H67" s="114" t="s">
        <v>329</v>
      </c>
      <c r="I67" s="363">
        <f>IFERROR(VLOOKUP(H67,'G-1 All Habitats'!$Z$2:$AA$9,2,FALSE),"")</f>
        <v>1</v>
      </c>
      <c r="J67" s="114" t="s">
        <v>1037</v>
      </c>
      <c r="K67" s="370" t="str">
        <f>IF(J67="","",IF(VLOOKUP(J67,'G-3 Multipliers'!$L$3:$N$6,2,FALSE)=0,"Spatial Data Missing",VLOOKUP(J67,'G-3 Multipliers'!$L$3:$N$6,2,FALSE)))</f>
        <v>Low Strategic Significance</v>
      </c>
      <c r="L67" s="368">
        <f>IF(J67="","",IF(VLOOKUP(J67,'G-3 Multipliers'!$L$3:$N$6,3,FALSE)=0,"Spatial Data Missing ⚠",VLOOKUP(J67,'G-3 Multipliers'!$L$3:$N$6,3,FALSE)))</f>
        <v>1</v>
      </c>
      <c r="M67" s="369" t="str">
        <f>IF(D67="","",VLOOKUP(D67,'G-6 Hedgerow Data'!$B$1:$AH$15,33,FALSE))</f>
        <v>Same distinctiveness band or better</v>
      </c>
      <c r="N67" s="376">
        <f t="shared" si="2"/>
        <v>0.48159999999999997</v>
      </c>
      <c r="O67" s="32"/>
      <c r="P67" s="122">
        <v>0.24079999999999999</v>
      </c>
      <c r="Q67" s="165">
        <v>0</v>
      </c>
      <c r="R67" s="393">
        <f t="shared" si="3"/>
        <v>0.48159999999999997</v>
      </c>
      <c r="S67" s="393">
        <f t="shared" si="4"/>
        <v>0</v>
      </c>
      <c r="T67" s="393">
        <f t="shared" si="5"/>
        <v>0</v>
      </c>
      <c r="U67" s="415">
        <f t="shared" si="6"/>
        <v>0</v>
      </c>
      <c r="V67" s="119"/>
      <c r="W67" s="120"/>
      <c r="X67" s="120"/>
      <c r="AE67" s="124" t="b">
        <f t="shared" si="0"/>
        <v>1</v>
      </c>
      <c r="AF67" s="124" t="b">
        <f t="shared" si="1"/>
        <v>0</v>
      </c>
      <c r="AH67" s="124">
        <v>58</v>
      </c>
      <c r="AJ67" s="124">
        <f t="array" ref="AJ67">IFERROR(INDEX($AH$10:$AH$258, MATCH(0, IF(TRUE=$AE$10:$AE$258, COUNTIF($AJ$9:$AJ66, $AH$10:$AH$258), ""), 0)),"")</f>
        <v>69</v>
      </c>
      <c r="AK67" s="124">
        <f t="array" ref="AK67">IFERROR(INDEX($AH$10:$AH$258, MATCH(0, IF(TRUE=$AF$10:$AF$258, COUNTIF($AK$9:$AK66, $AH$10:$AH$258), ""), 0)),"")</f>
        <v>165</v>
      </c>
      <c r="AL67" s="30" t="str">
        <f>IFERROR(INDEX('G-6 Hedgerow Data'!$BJ$3:$BJ$15,MATCH(D67,'G-6 Hedgerow Data'!$B$3:$B$15,0)),"")</f>
        <v>Hedgecond1</v>
      </c>
    </row>
    <row r="68" spans="2:38" ht="42.75" x14ac:dyDescent="0.2">
      <c r="B68" s="110">
        <v>59</v>
      </c>
      <c r="C68" s="165" t="s">
        <v>1745</v>
      </c>
      <c r="D68" s="165" t="s">
        <v>176</v>
      </c>
      <c r="E68" s="121">
        <v>0.29699999999999999</v>
      </c>
      <c r="F68" s="411" t="str">
        <f>IF(D68="","",VLOOKUP(D68,'G-6 Hedgerow Data'!$B$2:$AG$15,2,FALSE))</f>
        <v>Low</v>
      </c>
      <c r="G68" s="363">
        <f>IF(D68="","",VLOOKUP(D68,'G-6 Hedgerow Data'!$B$2:$AG$15,3,FALSE))</f>
        <v>2</v>
      </c>
      <c r="H68" s="114" t="s">
        <v>329</v>
      </c>
      <c r="I68" s="363">
        <f>IFERROR(VLOOKUP(H68,'G-1 All Habitats'!$Z$2:$AA$9,2,FALSE),"")</f>
        <v>1</v>
      </c>
      <c r="J68" s="114" t="s">
        <v>1037</v>
      </c>
      <c r="K68" s="370" t="str">
        <f>IF(J68="","",IF(VLOOKUP(J68,'G-3 Multipliers'!$L$3:$N$6,2,FALSE)=0,"Spatial Data Missing",VLOOKUP(J68,'G-3 Multipliers'!$L$3:$N$6,2,FALSE)))</f>
        <v>Low Strategic Significance</v>
      </c>
      <c r="L68" s="368">
        <f>IF(J68="","",IF(VLOOKUP(J68,'G-3 Multipliers'!$L$3:$N$6,3,FALSE)=0,"Spatial Data Missing ⚠",VLOOKUP(J68,'G-3 Multipliers'!$L$3:$N$6,3,FALSE)))</f>
        <v>1</v>
      </c>
      <c r="M68" s="369" t="str">
        <f>IF(D68="","",VLOOKUP(D68,'G-6 Hedgerow Data'!$B$1:$AH$15,33,FALSE))</f>
        <v>Same distinctiveness band or better</v>
      </c>
      <c r="N68" s="376">
        <f t="shared" si="2"/>
        <v>0.59399999999999997</v>
      </c>
      <c r="O68" s="32"/>
      <c r="P68" s="122">
        <v>0.28029999999999999</v>
      </c>
      <c r="Q68" s="165">
        <v>0</v>
      </c>
      <c r="R68" s="393">
        <f t="shared" si="3"/>
        <v>0.56059999999999999</v>
      </c>
      <c r="S68" s="393">
        <f t="shared" si="4"/>
        <v>0</v>
      </c>
      <c r="T68" s="393">
        <f t="shared" si="5"/>
        <v>1.6699999999999993E-2</v>
      </c>
      <c r="U68" s="415">
        <f t="shared" si="6"/>
        <v>3.3399999999999985E-2</v>
      </c>
      <c r="V68" s="119" t="s">
        <v>1945</v>
      </c>
      <c r="W68" s="120"/>
      <c r="X68" s="120"/>
      <c r="AE68" s="124" t="b">
        <f t="shared" si="0"/>
        <v>1</v>
      </c>
      <c r="AF68" s="124" t="b">
        <f t="shared" si="1"/>
        <v>0</v>
      </c>
      <c r="AH68" s="124">
        <v>59</v>
      </c>
      <c r="AJ68" s="124">
        <f t="array" ref="AJ68">IFERROR(INDEX($AH$10:$AH$258, MATCH(0, IF(TRUE=$AE$10:$AE$258, COUNTIF($AJ$9:$AJ67, $AH$10:$AH$258), ""), 0)),"")</f>
        <v>70</v>
      </c>
      <c r="AK68" s="124">
        <f t="array" ref="AK68">IFERROR(INDEX($AH$10:$AH$258, MATCH(0, IF(TRUE=$AF$10:$AF$258, COUNTIF($AK$9:$AK67, $AH$10:$AH$258), ""), 0)),"")</f>
        <v>166</v>
      </c>
      <c r="AL68" s="30" t="str">
        <f>IFERROR(INDEX('G-6 Hedgerow Data'!$BJ$3:$BJ$15,MATCH(D68,'G-6 Hedgerow Data'!$B$3:$B$15,0)),"")</f>
        <v>Hedgecond1</v>
      </c>
    </row>
    <row r="69" spans="2:38" ht="42.75" x14ac:dyDescent="0.2">
      <c r="B69" s="110">
        <v>60</v>
      </c>
      <c r="C69" s="165" t="s">
        <v>1746</v>
      </c>
      <c r="D69" s="165" t="s">
        <v>171</v>
      </c>
      <c r="E69" s="121">
        <v>0.56879999999999997</v>
      </c>
      <c r="F69" s="411" t="str">
        <f>IF(D69="","",VLOOKUP(D69,'G-6 Hedgerow Data'!$B$2:$AG$15,2,FALSE))</f>
        <v>Medium</v>
      </c>
      <c r="G69" s="363">
        <f>IF(D69="","",VLOOKUP(D69,'G-6 Hedgerow Data'!$B$2:$AG$15,3,FALSE))</f>
        <v>4</v>
      </c>
      <c r="H69" s="114" t="s">
        <v>67</v>
      </c>
      <c r="I69" s="363">
        <f>IFERROR(VLOOKUP(H69,'G-1 All Habitats'!$Z$2:$AA$9,2,FALSE),"")</f>
        <v>2</v>
      </c>
      <c r="J69" s="114" t="s">
        <v>1037</v>
      </c>
      <c r="K69" s="370" t="str">
        <f>IF(J69="","",IF(VLOOKUP(J69,'G-3 Multipliers'!$L$3:$N$6,2,FALSE)=0,"Spatial Data Missing",VLOOKUP(J69,'G-3 Multipliers'!$L$3:$N$6,2,FALSE)))</f>
        <v>Low Strategic Significance</v>
      </c>
      <c r="L69" s="368">
        <f>IF(J69="","",IF(VLOOKUP(J69,'G-3 Multipliers'!$L$3:$N$6,3,FALSE)=0,"Spatial Data Missing ⚠",VLOOKUP(J69,'G-3 Multipliers'!$L$3:$N$6,3,FALSE)))</f>
        <v>1</v>
      </c>
      <c r="M69" s="369" t="str">
        <f>IF(D69="","",VLOOKUP(D69,'G-6 Hedgerow Data'!$B$1:$AH$15,33,FALSE))</f>
        <v>Same distinctiveness band or better</v>
      </c>
      <c r="N69" s="376">
        <f t="shared" si="2"/>
        <v>4.5503999999999998</v>
      </c>
      <c r="O69" s="32"/>
      <c r="P69" s="122">
        <v>2.69E-2</v>
      </c>
      <c r="Q69" s="165">
        <v>0.53600000000000003</v>
      </c>
      <c r="R69" s="393">
        <f t="shared" si="3"/>
        <v>0.2152</v>
      </c>
      <c r="S69" s="393">
        <f t="shared" si="4"/>
        <v>4.2880000000000003</v>
      </c>
      <c r="T69" s="393">
        <f t="shared" si="5"/>
        <v>5.8999999999999053E-3</v>
      </c>
      <c r="U69" s="415">
        <f t="shared" si="6"/>
        <v>4.7199999999999243E-2</v>
      </c>
      <c r="V69" s="119" t="s">
        <v>1946</v>
      </c>
      <c r="W69" s="120"/>
      <c r="X69" s="120"/>
      <c r="AE69" s="124" t="b">
        <f t="shared" si="0"/>
        <v>1</v>
      </c>
      <c r="AF69" s="124" t="b">
        <f t="shared" si="1"/>
        <v>1</v>
      </c>
      <c r="AH69" s="124">
        <v>60</v>
      </c>
      <c r="AJ69" s="124">
        <f t="array" ref="AJ69">IFERROR(INDEX($AH$10:$AH$258, MATCH(0, IF(TRUE=$AE$10:$AE$258, COUNTIF($AJ$9:$AJ68, $AH$10:$AH$258), ""), 0)),"")</f>
        <v>71</v>
      </c>
      <c r="AK69" s="124">
        <f t="array" ref="AK69">IFERROR(INDEX($AH$10:$AH$258, MATCH(0, IF(TRUE=$AF$10:$AF$258, COUNTIF($AK$9:$AK68, $AH$10:$AH$258), ""), 0)),"")</f>
        <v>170</v>
      </c>
      <c r="AL69" s="30" t="str">
        <f>IFERROR(INDEX('G-6 Hedgerow Data'!$BJ$3:$BJ$15,MATCH(D69,'G-6 Hedgerow Data'!$B$3:$B$15,0)),"")</f>
        <v>Hedgecond1</v>
      </c>
    </row>
    <row r="70" spans="2:38" ht="42.75" x14ac:dyDescent="0.2">
      <c r="B70" s="110">
        <v>61</v>
      </c>
      <c r="C70" s="165" t="s">
        <v>1747</v>
      </c>
      <c r="D70" s="165" t="s">
        <v>171</v>
      </c>
      <c r="E70" s="121">
        <v>3.1399999999999997E-2</v>
      </c>
      <c r="F70" s="411" t="str">
        <f>IF(D70="","",VLOOKUP(D70,'G-6 Hedgerow Data'!$B$2:$AG$15,2,FALSE))</f>
        <v>Medium</v>
      </c>
      <c r="G70" s="363">
        <f>IF(D70="","",VLOOKUP(D70,'G-6 Hedgerow Data'!$B$2:$AG$15,3,FALSE))</f>
        <v>4</v>
      </c>
      <c r="H70" s="114" t="s">
        <v>67</v>
      </c>
      <c r="I70" s="363">
        <f>IFERROR(VLOOKUP(H70,'G-1 All Habitats'!$Z$2:$AA$9,2,FALSE),"")</f>
        <v>2</v>
      </c>
      <c r="J70" s="114" t="s">
        <v>1029</v>
      </c>
      <c r="K70" s="370" t="str">
        <f>IF(J70="","",IF(VLOOKUP(J70,'G-3 Multipliers'!$L$3:$N$6,2,FALSE)=0,"Spatial Data Missing",VLOOKUP(J70,'G-3 Multipliers'!$L$3:$N$6,2,FALSE)))</f>
        <v xml:space="preserve">High strategic significance </v>
      </c>
      <c r="L70" s="368">
        <f>IF(J70="","",IF(VLOOKUP(J70,'G-3 Multipliers'!$L$3:$N$6,3,FALSE)=0,"Spatial Data Missing ⚠",VLOOKUP(J70,'G-3 Multipliers'!$L$3:$N$6,3,FALSE)))</f>
        <v>1.1499999999999999</v>
      </c>
      <c r="M70" s="369" t="str">
        <f>IF(D70="","",VLOOKUP(D70,'G-6 Hedgerow Data'!$B$1:$AH$15,33,FALSE))</f>
        <v>Same distinctiveness band or better</v>
      </c>
      <c r="N70" s="376">
        <f t="shared" si="2"/>
        <v>0.28887999999999997</v>
      </c>
      <c r="O70" s="32"/>
      <c r="P70" s="122">
        <v>0</v>
      </c>
      <c r="Q70" s="165">
        <v>0</v>
      </c>
      <c r="R70" s="393">
        <f t="shared" si="3"/>
        <v>0</v>
      </c>
      <c r="S70" s="393">
        <f t="shared" si="4"/>
        <v>0</v>
      </c>
      <c r="T70" s="393">
        <f t="shared" si="5"/>
        <v>3.1399999999999997E-2</v>
      </c>
      <c r="U70" s="415">
        <f t="shared" si="6"/>
        <v>0.28887999999999997</v>
      </c>
      <c r="V70" s="119" t="s">
        <v>1946</v>
      </c>
      <c r="W70" s="120"/>
      <c r="X70" s="120"/>
      <c r="AE70" s="124" t="b">
        <f t="shared" si="0"/>
        <v>0</v>
      </c>
      <c r="AF70" s="124" t="b">
        <f t="shared" si="1"/>
        <v>0</v>
      </c>
      <c r="AH70" s="124">
        <v>61</v>
      </c>
      <c r="AJ70" s="124">
        <f t="array" ref="AJ70">IFERROR(INDEX($AH$10:$AH$258, MATCH(0, IF(TRUE=$AE$10:$AE$258, COUNTIF($AJ$9:$AJ69, $AH$10:$AH$258), ""), 0)),"")</f>
        <v>72</v>
      </c>
      <c r="AK70" s="124">
        <f t="array" ref="AK70">IFERROR(INDEX($AH$10:$AH$258, MATCH(0, IF(TRUE=$AF$10:$AF$258, COUNTIF($AK$9:$AK69, $AH$10:$AH$258), ""), 0)),"")</f>
        <v>183</v>
      </c>
      <c r="AL70" s="30" t="str">
        <f>IFERROR(INDEX('G-6 Hedgerow Data'!$BJ$3:$BJ$15,MATCH(D70,'G-6 Hedgerow Data'!$B$3:$B$15,0)),"")</f>
        <v>Hedgecond1</v>
      </c>
    </row>
    <row r="71" spans="2:38" ht="42.75" x14ac:dyDescent="0.2">
      <c r="B71" s="110">
        <v>62</v>
      </c>
      <c r="C71" s="165" t="s">
        <v>1748</v>
      </c>
      <c r="D71" s="165" t="s">
        <v>171</v>
      </c>
      <c r="E71" s="121">
        <v>0.74870000000000003</v>
      </c>
      <c r="F71" s="411" t="str">
        <f>IF(D71="","",VLOOKUP(D71,'G-6 Hedgerow Data'!$B$2:$AG$15,2,FALSE))</f>
        <v>Medium</v>
      </c>
      <c r="G71" s="363">
        <f>IF(D71="","",VLOOKUP(D71,'G-6 Hedgerow Data'!$B$2:$AG$15,3,FALSE))</f>
        <v>4</v>
      </c>
      <c r="H71" s="114" t="s">
        <v>67</v>
      </c>
      <c r="I71" s="363">
        <f>IFERROR(VLOOKUP(H71,'G-1 All Habitats'!$Z$2:$AA$9,2,FALSE),"")</f>
        <v>2</v>
      </c>
      <c r="J71" s="114" t="s">
        <v>1037</v>
      </c>
      <c r="K71" s="370" t="str">
        <f>IF(J71="","",IF(VLOOKUP(J71,'G-3 Multipliers'!$L$3:$N$6,2,FALSE)=0,"Spatial Data Missing",VLOOKUP(J71,'G-3 Multipliers'!$L$3:$N$6,2,FALSE)))</f>
        <v>Low Strategic Significance</v>
      </c>
      <c r="L71" s="368">
        <f>IF(J71="","",IF(VLOOKUP(J71,'G-3 Multipliers'!$L$3:$N$6,3,FALSE)=0,"Spatial Data Missing ⚠",VLOOKUP(J71,'G-3 Multipliers'!$L$3:$N$6,3,FALSE)))</f>
        <v>1</v>
      </c>
      <c r="M71" s="369" t="str">
        <f>IF(D71="","",VLOOKUP(D71,'G-6 Hedgerow Data'!$B$1:$AH$15,33,FALSE))</f>
        <v>Same distinctiveness band or better</v>
      </c>
      <c r="N71" s="376">
        <f t="shared" si="2"/>
        <v>5.9896000000000003</v>
      </c>
      <c r="O71" s="32"/>
      <c r="P71" s="122">
        <v>0.74870000000000003</v>
      </c>
      <c r="Q71" s="165">
        <v>0</v>
      </c>
      <c r="R71" s="393">
        <f t="shared" si="3"/>
        <v>5.9896000000000003</v>
      </c>
      <c r="S71" s="393">
        <f t="shared" si="4"/>
        <v>0</v>
      </c>
      <c r="T71" s="393">
        <f t="shared" si="5"/>
        <v>0</v>
      </c>
      <c r="U71" s="415">
        <f t="shared" si="6"/>
        <v>0</v>
      </c>
      <c r="V71" s="119"/>
      <c r="W71" s="120"/>
      <c r="X71" s="120"/>
      <c r="AE71" s="124" t="b">
        <f t="shared" si="0"/>
        <v>1</v>
      </c>
      <c r="AF71" s="124" t="b">
        <f t="shared" si="1"/>
        <v>0</v>
      </c>
      <c r="AH71" s="124">
        <v>62</v>
      </c>
      <c r="AJ71" s="124">
        <f t="array" ref="AJ71">IFERROR(INDEX($AH$10:$AH$258, MATCH(0, IF(TRUE=$AE$10:$AE$258, COUNTIF($AJ$9:$AJ70, $AH$10:$AH$258), ""), 0)),"")</f>
        <v>73</v>
      </c>
      <c r="AK71" s="124">
        <f t="array" ref="AK71">IFERROR(INDEX($AH$10:$AH$258, MATCH(0, IF(TRUE=$AF$10:$AF$258, COUNTIF($AK$9:$AK70, $AH$10:$AH$258), ""), 0)),"")</f>
        <v>184</v>
      </c>
      <c r="AL71" s="30" t="str">
        <f>IFERROR(INDEX('G-6 Hedgerow Data'!$BJ$3:$BJ$15,MATCH(D71,'G-6 Hedgerow Data'!$B$3:$B$15,0)),"")</f>
        <v>Hedgecond1</v>
      </c>
    </row>
    <row r="72" spans="2:38" ht="42.75" x14ac:dyDescent="0.2">
      <c r="B72" s="110">
        <v>63</v>
      </c>
      <c r="C72" s="165" t="s">
        <v>1749</v>
      </c>
      <c r="D72" s="165" t="s">
        <v>171</v>
      </c>
      <c r="E72" s="121">
        <v>9.7000000000000003E-3</v>
      </c>
      <c r="F72" s="411" t="str">
        <f>IF(D72="","",VLOOKUP(D72,'G-6 Hedgerow Data'!$B$2:$AG$15,2,FALSE))</f>
        <v>Medium</v>
      </c>
      <c r="G72" s="363">
        <f>IF(D72="","",VLOOKUP(D72,'G-6 Hedgerow Data'!$B$2:$AG$15,3,FALSE))</f>
        <v>4</v>
      </c>
      <c r="H72" s="114" t="s">
        <v>67</v>
      </c>
      <c r="I72" s="363">
        <f>IFERROR(VLOOKUP(H72,'G-1 All Habitats'!$Z$2:$AA$9,2,FALSE),"")</f>
        <v>2</v>
      </c>
      <c r="J72" s="114" t="s">
        <v>1029</v>
      </c>
      <c r="K72" s="370" t="str">
        <f>IF(J72="","",IF(VLOOKUP(J72,'G-3 Multipliers'!$L$3:$N$6,2,FALSE)=0,"Spatial Data Missing",VLOOKUP(J72,'G-3 Multipliers'!$L$3:$N$6,2,FALSE)))</f>
        <v xml:space="preserve">High strategic significance </v>
      </c>
      <c r="L72" s="368">
        <f>IF(J72="","",IF(VLOOKUP(J72,'G-3 Multipliers'!$L$3:$N$6,3,FALSE)=0,"Spatial Data Missing ⚠",VLOOKUP(J72,'G-3 Multipliers'!$L$3:$N$6,3,FALSE)))</f>
        <v>1.1499999999999999</v>
      </c>
      <c r="M72" s="369" t="str">
        <f>IF(D72="","",VLOOKUP(D72,'G-6 Hedgerow Data'!$B$1:$AH$15,33,FALSE))</f>
        <v>Same distinctiveness band or better</v>
      </c>
      <c r="N72" s="376">
        <f t="shared" si="2"/>
        <v>8.924E-2</v>
      </c>
      <c r="O72" s="32"/>
      <c r="P72" s="122">
        <v>9.7000000000000003E-3</v>
      </c>
      <c r="Q72" s="165">
        <v>0</v>
      </c>
      <c r="R72" s="393">
        <f t="shared" si="3"/>
        <v>8.924E-2</v>
      </c>
      <c r="S72" s="393">
        <f t="shared" si="4"/>
        <v>0</v>
      </c>
      <c r="T72" s="393">
        <f t="shared" si="5"/>
        <v>0</v>
      </c>
      <c r="U72" s="415">
        <f t="shared" si="6"/>
        <v>0</v>
      </c>
      <c r="V72" s="119"/>
      <c r="W72" s="120"/>
      <c r="X72" s="120"/>
      <c r="AE72" s="124" t="b">
        <f t="shared" si="0"/>
        <v>1</v>
      </c>
      <c r="AF72" s="124" t="b">
        <f t="shared" si="1"/>
        <v>0</v>
      </c>
      <c r="AH72" s="124">
        <v>63</v>
      </c>
      <c r="AJ72" s="124">
        <f t="array" ref="AJ72">IFERROR(INDEX($AH$10:$AH$258, MATCH(0, IF(TRUE=$AE$10:$AE$258, COUNTIF($AJ$9:$AJ71, $AH$10:$AH$258), ""), 0)),"")</f>
        <v>74</v>
      </c>
      <c r="AK72" s="124">
        <f t="array" ref="AK72">IFERROR(INDEX($AH$10:$AH$258, MATCH(0, IF(TRUE=$AF$10:$AF$258, COUNTIF($AK$9:$AK71, $AH$10:$AH$258), ""), 0)),"")</f>
        <v>189</v>
      </c>
      <c r="AL72" s="30" t="str">
        <f>IFERROR(INDEX('G-6 Hedgerow Data'!$BJ$3:$BJ$15,MATCH(D72,'G-6 Hedgerow Data'!$B$3:$B$15,0)),"")</f>
        <v>Hedgecond1</v>
      </c>
    </row>
    <row r="73" spans="2:38" ht="28.5" x14ac:dyDescent="0.2">
      <c r="B73" s="110">
        <v>64</v>
      </c>
      <c r="C73" s="165" t="s">
        <v>1750</v>
      </c>
      <c r="D73" s="165" t="s">
        <v>168</v>
      </c>
      <c r="E73" s="121">
        <v>0.16500000000000001</v>
      </c>
      <c r="F73" s="411" t="str">
        <f>IF(D73="","",VLOOKUP(D73,'G-6 Hedgerow Data'!$B$2:$AG$15,2,FALSE))</f>
        <v>High</v>
      </c>
      <c r="G73" s="363">
        <f>IF(D73="","",VLOOKUP(D73,'G-6 Hedgerow Data'!$B$2:$AG$15,3,FALSE))</f>
        <v>6</v>
      </c>
      <c r="H73" s="114" t="s">
        <v>67</v>
      </c>
      <c r="I73" s="363">
        <f>IFERROR(VLOOKUP(H73,'G-1 All Habitats'!$Z$2:$AA$9,2,FALSE),"")</f>
        <v>2</v>
      </c>
      <c r="J73" s="114" t="s">
        <v>1037</v>
      </c>
      <c r="K73" s="370" t="str">
        <f>IF(J73="","",IF(VLOOKUP(J73,'G-3 Multipliers'!$L$3:$N$6,2,FALSE)=0,"Spatial Data Missing",VLOOKUP(J73,'G-3 Multipliers'!$L$3:$N$6,2,FALSE)))</f>
        <v>Low Strategic Significance</v>
      </c>
      <c r="L73" s="368">
        <f>IF(J73="","",IF(VLOOKUP(J73,'G-3 Multipliers'!$L$3:$N$6,3,FALSE)=0,"Spatial Data Missing ⚠",VLOOKUP(J73,'G-3 Multipliers'!$L$3:$N$6,3,FALSE)))</f>
        <v>1</v>
      </c>
      <c r="M73" s="369" t="str">
        <f>IF(D73="","",VLOOKUP(D73,'G-6 Hedgerow Data'!$B$1:$AH$15,33,FALSE))</f>
        <v>Like for like or better</v>
      </c>
      <c r="N73" s="376">
        <f t="shared" si="2"/>
        <v>1.98</v>
      </c>
      <c r="O73" s="32"/>
      <c r="P73" s="122">
        <v>0.16500000000000001</v>
      </c>
      <c r="Q73" s="165">
        <v>0</v>
      </c>
      <c r="R73" s="393">
        <f t="shared" si="3"/>
        <v>1.98</v>
      </c>
      <c r="S73" s="393">
        <f t="shared" si="4"/>
        <v>0</v>
      </c>
      <c r="T73" s="393">
        <f t="shared" si="5"/>
        <v>0</v>
      </c>
      <c r="U73" s="415">
        <f t="shared" si="6"/>
        <v>0</v>
      </c>
      <c r="V73" s="119"/>
      <c r="W73" s="120"/>
      <c r="X73" s="120"/>
      <c r="AE73" s="124" t="b">
        <f t="shared" si="0"/>
        <v>1</v>
      </c>
      <c r="AF73" s="124" t="b">
        <f t="shared" si="1"/>
        <v>0</v>
      </c>
      <c r="AH73" s="124">
        <v>64</v>
      </c>
      <c r="AJ73" s="124">
        <f t="array" ref="AJ73">IFERROR(INDEX($AH$10:$AH$258, MATCH(0, IF(TRUE=$AE$10:$AE$258, COUNTIF($AJ$9:$AJ72, $AH$10:$AH$258), ""), 0)),"")</f>
        <v>76</v>
      </c>
      <c r="AK73" s="124">
        <f t="array" ref="AK73">IFERROR(INDEX($AH$10:$AH$258, MATCH(0, IF(TRUE=$AF$10:$AF$258, COUNTIF($AK$9:$AK72, $AH$10:$AH$258), ""), 0)),"")</f>
        <v>192</v>
      </c>
      <c r="AL73" s="30" t="str">
        <f>IFERROR(INDEX('G-6 Hedgerow Data'!$BJ$3:$BJ$15,MATCH(D73,'G-6 Hedgerow Data'!$B$3:$B$15,0)),"")</f>
        <v>Hedgecond1</v>
      </c>
    </row>
    <row r="74" spans="2:38" ht="28.5" x14ac:dyDescent="0.2">
      <c r="B74" s="110">
        <v>65</v>
      </c>
      <c r="C74" s="165" t="s">
        <v>1751</v>
      </c>
      <c r="D74" s="165" t="s">
        <v>168</v>
      </c>
      <c r="E74" s="121">
        <v>8.3400000000000002E-2</v>
      </c>
      <c r="F74" s="411" t="str">
        <f>IF(D74="","",VLOOKUP(D74,'G-6 Hedgerow Data'!$B$2:$AG$15,2,FALSE))</f>
        <v>High</v>
      </c>
      <c r="G74" s="363">
        <f>IF(D74="","",VLOOKUP(D74,'G-6 Hedgerow Data'!$B$2:$AG$15,3,FALSE))</f>
        <v>6</v>
      </c>
      <c r="H74" s="114" t="s">
        <v>67</v>
      </c>
      <c r="I74" s="363">
        <f>IFERROR(VLOOKUP(H74,'G-1 All Habitats'!$Z$2:$AA$9,2,FALSE),"")</f>
        <v>2</v>
      </c>
      <c r="J74" s="114" t="s">
        <v>1029</v>
      </c>
      <c r="K74" s="370" t="str">
        <f>IF(J74="","",IF(VLOOKUP(J74,'G-3 Multipliers'!$L$3:$N$6,2,FALSE)=0,"Spatial Data Missing",VLOOKUP(J74,'G-3 Multipliers'!$L$3:$N$6,2,FALSE)))</f>
        <v xml:space="preserve">High strategic significance </v>
      </c>
      <c r="L74" s="368">
        <f>IF(J74="","",IF(VLOOKUP(J74,'G-3 Multipliers'!$L$3:$N$6,3,FALSE)=0,"Spatial Data Missing ⚠",VLOOKUP(J74,'G-3 Multipliers'!$L$3:$N$6,3,FALSE)))</f>
        <v>1.1499999999999999</v>
      </c>
      <c r="M74" s="369" t="str">
        <f>IF(D74="","",VLOOKUP(D74,'G-6 Hedgerow Data'!$B$1:$AH$15,33,FALSE))</f>
        <v>Like for like or better</v>
      </c>
      <c r="N74" s="376">
        <f t="shared" si="2"/>
        <v>1.1509199999999997</v>
      </c>
      <c r="O74" s="32"/>
      <c r="P74" s="122">
        <v>8.3400000000000002E-2</v>
      </c>
      <c r="Q74" s="165">
        <v>0</v>
      </c>
      <c r="R74" s="393">
        <f t="shared" si="3"/>
        <v>1.1509199999999997</v>
      </c>
      <c r="S74" s="393">
        <f t="shared" si="4"/>
        <v>0</v>
      </c>
      <c r="T74" s="393">
        <f t="shared" si="5"/>
        <v>0</v>
      </c>
      <c r="U74" s="415">
        <f t="shared" si="6"/>
        <v>0</v>
      </c>
      <c r="V74" s="119"/>
      <c r="W74" s="120"/>
      <c r="X74" s="120"/>
      <c r="AE74" s="124" t="b">
        <f t="shared" ref="AE74:AE137" si="7">IF(D74="","",IF(P74&gt;0,TRUE,FALSE))</f>
        <v>1</v>
      </c>
      <c r="AF74" s="124" t="b">
        <f t="shared" ref="AF74:AF137" si="8">IF(D74="","",IF(Q74&gt;0,TRUE,FALSE))</f>
        <v>0</v>
      </c>
      <c r="AH74" s="124">
        <v>65</v>
      </c>
      <c r="AJ74" s="124">
        <f t="array" ref="AJ74">IFERROR(INDEX($AH$10:$AH$258, MATCH(0, IF(TRUE=$AE$10:$AE$258, COUNTIF($AJ$9:$AJ73, $AH$10:$AH$258), ""), 0)),"")</f>
        <v>77</v>
      </c>
      <c r="AK74" s="124">
        <f t="array" ref="AK74">IFERROR(INDEX($AH$10:$AH$258, MATCH(0, IF(TRUE=$AF$10:$AF$258, COUNTIF($AK$9:$AK73, $AH$10:$AH$258), ""), 0)),"")</f>
        <v>194</v>
      </c>
      <c r="AL74" s="30" t="str">
        <f>IFERROR(INDEX('G-6 Hedgerow Data'!$BJ$3:$BJ$15,MATCH(D74,'G-6 Hedgerow Data'!$B$3:$B$15,0)),"")</f>
        <v>Hedgecond1</v>
      </c>
    </row>
    <row r="75" spans="2:38" ht="42.75" x14ac:dyDescent="0.2">
      <c r="B75" s="110">
        <v>66</v>
      </c>
      <c r="C75" s="165" t="s">
        <v>1752</v>
      </c>
      <c r="D75" s="165" t="s">
        <v>176</v>
      </c>
      <c r="E75" s="121">
        <v>0.85189999999999999</v>
      </c>
      <c r="F75" s="411" t="str">
        <f>IF(D75="","",VLOOKUP(D75,'G-6 Hedgerow Data'!$B$2:$AG$15,2,FALSE))</f>
        <v>Low</v>
      </c>
      <c r="G75" s="363">
        <f>IF(D75="","",VLOOKUP(D75,'G-6 Hedgerow Data'!$B$2:$AG$15,3,FALSE))</f>
        <v>2</v>
      </c>
      <c r="H75" s="114" t="s">
        <v>68</v>
      </c>
      <c r="I75" s="363">
        <f>IFERROR(VLOOKUP(H75,'G-1 All Habitats'!$Z$2:$AA$9,2,FALSE),"")</f>
        <v>3</v>
      </c>
      <c r="J75" s="114" t="s">
        <v>1029</v>
      </c>
      <c r="K75" s="370" t="str">
        <f>IF(J75="","",IF(VLOOKUP(J75,'G-3 Multipliers'!$L$3:$N$6,2,FALSE)=0,"Spatial Data Missing",VLOOKUP(J75,'G-3 Multipliers'!$L$3:$N$6,2,FALSE)))</f>
        <v xml:space="preserve">High strategic significance </v>
      </c>
      <c r="L75" s="368">
        <f>IF(J75="","",IF(VLOOKUP(J75,'G-3 Multipliers'!$L$3:$N$6,3,FALSE)=0,"Spatial Data Missing ⚠",VLOOKUP(J75,'G-3 Multipliers'!$L$3:$N$6,3,FALSE)))</f>
        <v>1.1499999999999999</v>
      </c>
      <c r="M75" s="369" t="str">
        <f>IF(D75="","",VLOOKUP(D75,'G-6 Hedgerow Data'!$B$1:$AH$15,33,FALSE))</f>
        <v>Same distinctiveness band or better</v>
      </c>
      <c r="N75" s="376">
        <f t="shared" ref="N75:N138" si="9">IFERROR(E75*G75*I75*L75,"")</f>
        <v>5.8781099999999995</v>
      </c>
      <c r="O75" s="32"/>
      <c r="P75" s="122">
        <v>0.85189999999999999</v>
      </c>
      <c r="Q75" s="165">
        <v>0</v>
      </c>
      <c r="R75" s="393">
        <f t="shared" ref="R75:R138" si="10">IFERROR(P75*G75*I75*L75,"")</f>
        <v>5.8781099999999995</v>
      </c>
      <c r="S75" s="393">
        <f t="shared" ref="S75:S138" si="11">IFERROR(Q75*G75*I75*L75,"")</f>
        <v>0</v>
      </c>
      <c r="T75" s="393">
        <f t="shared" ref="T75:T138" si="12">IF(D75="","",IF(E75-P75-Q75=0&lt;0,"Error in lengths ▲",IF(P75+Q75&gt;E75,"Error in Lengths ▲",E75-P75-Q75)))</f>
        <v>0</v>
      </c>
      <c r="U75" s="415">
        <f t="shared" ref="U75:U138" si="13">IF(OR(E75="",N75=""),"",IF(E75-P75-Q75=0&lt;0,"Error in Lengths ▲",IF(P75+Q75&gt;E75,"Error in Lengths ▲",N75-R75-S75)))</f>
        <v>0</v>
      </c>
      <c r="V75" s="119"/>
      <c r="W75" s="120"/>
      <c r="X75" s="120"/>
      <c r="AE75" s="124" t="b">
        <f t="shared" si="7"/>
        <v>1</v>
      </c>
      <c r="AF75" s="124" t="b">
        <f t="shared" si="8"/>
        <v>0</v>
      </c>
      <c r="AH75" s="124">
        <v>66</v>
      </c>
      <c r="AJ75" s="124">
        <f t="array" ref="AJ75">IFERROR(INDEX($AH$10:$AH$258, MATCH(0, IF(TRUE=$AE$10:$AE$258, COUNTIF($AJ$9:$AJ74, $AH$10:$AH$258), ""), 0)),"")</f>
        <v>79</v>
      </c>
      <c r="AK75" s="124">
        <f t="array" ref="AK75">IFERROR(INDEX($AH$10:$AH$258, MATCH(0, IF(TRUE=$AF$10:$AF$258, COUNTIF($AK$9:$AK74, $AH$10:$AH$258), ""), 0)),"")</f>
        <v>195</v>
      </c>
      <c r="AL75" s="30" t="str">
        <f>IFERROR(INDEX('G-6 Hedgerow Data'!$BJ$3:$BJ$15,MATCH(D75,'G-6 Hedgerow Data'!$B$3:$B$15,0)),"")</f>
        <v>Hedgecond1</v>
      </c>
    </row>
    <row r="76" spans="2:38" ht="28.5" x14ac:dyDescent="0.2">
      <c r="B76" s="110">
        <v>67</v>
      </c>
      <c r="C76" s="165" t="s">
        <v>1753</v>
      </c>
      <c r="D76" s="165" t="s">
        <v>168</v>
      </c>
      <c r="E76" s="121">
        <v>0.58989999999999998</v>
      </c>
      <c r="F76" s="411" t="str">
        <f>IF(D76="","",VLOOKUP(D76,'G-6 Hedgerow Data'!$B$2:$AG$15,2,FALSE))</f>
        <v>High</v>
      </c>
      <c r="G76" s="363">
        <f>IF(D76="","",VLOOKUP(D76,'G-6 Hedgerow Data'!$B$2:$AG$15,3,FALSE))</f>
        <v>6</v>
      </c>
      <c r="H76" s="114" t="s">
        <v>68</v>
      </c>
      <c r="I76" s="363">
        <f>IFERROR(VLOOKUP(H76,'G-1 All Habitats'!$Z$2:$AA$9,2,FALSE),"")</f>
        <v>3</v>
      </c>
      <c r="J76" s="114" t="s">
        <v>1037</v>
      </c>
      <c r="K76" s="370" t="str">
        <f>IF(J76="","",IF(VLOOKUP(J76,'G-3 Multipliers'!$L$3:$N$6,2,FALSE)=0,"Spatial Data Missing",VLOOKUP(J76,'G-3 Multipliers'!$L$3:$N$6,2,FALSE)))</f>
        <v>Low Strategic Significance</v>
      </c>
      <c r="L76" s="368">
        <f>IF(J76="","",IF(VLOOKUP(J76,'G-3 Multipliers'!$L$3:$N$6,3,FALSE)=0,"Spatial Data Missing ⚠",VLOOKUP(J76,'G-3 Multipliers'!$L$3:$N$6,3,FALSE)))</f>
        <v>1</v>
      </c>
      <c r="M76" s="369" t="str">
        <f>IF(D76="","",VLOOKUP(D76,'G-6 Hedgerow Data'!$B$1:$AH$15,33,FALSE))</f>
        <v>Like for like or better</v>
      </c>
      <c r="N76" s="376">
        <f t="shared" si="9"/>
        <v>10.618199999999998</v>
      </c>
      <c r="O76" s="32"/>
      <c r="P76" s="122">
        <v>0.34839999999999999</v>
      </c>
      <c r="Q76" s="165">
        <v>0.24049999999999999</v>
      </c>
      <c r="R76" s="393">
        <f t="shared" si="10"/>
        <v>6.2711999999999994</v>
      </c>
      <c r="S76" s="393">
        <f t="shared" si="11"/>
        <v>4.3290000000000006</v>
      </c>
      <c r="T76" s="393">
        <f t="shared" si="12"/>
        <v>1.0000000000000009E-3</v>
      </c>
      <c r="U76" s="415">
        <f t="shared" si="13"/>
        <v>1.7999999999998018E-2</v>
      </c>
      <c r="V76" s="119" t="s">
        <v>1947</v>
      </c>
      <c r="W76" s="120"/>
      <c r="X76" s="120"/>
      <c r="AE76" s="124" t="b">
        <f t="shared" si="7"/>
        <v>1</v>
      </c>
      <c r="AF76" s="124" t="b">
        <f t="shared" si="8"/>
        <v>1</v>
      </c>
      <c r="AH76" s="124">
        <v>67</v>
      </c>
      <c r="AJ76" s="124">
        <f t="array" ref="AJ76">IFERROR(INDEX($AH$10:$AH$258, MATCH(0, IF(TRUE=$AE$10:$AE$258, COUNTIF($AJ$9:$AJ75, $AH$10:$AH$258), ""), 0)),"")</f>
        <v>81</v>
      </c>
      <c r="AK76" s="124">
        <f t="array" ref="AK76">IFERROR(INDEX($AH$10:$AH$258, MATCH(0, IF(TRUE=$AF$10:$AF$258, COUNTIF($AK$9:$AK75, $AH$10:$AH$258), ""), 0)),"")</f>
        <v>200</v>
      </c>
      <c r="AL76" s="30" t="str">
        <f>IFERROR(INDEX('G-6 Hedgerow Data'!$BJ$3:$BJ$15,MATCH(D76,'G-6 Hedgerow Data'!$B$3:$B$15,0)),"")</f>
        <v>Hedgecond1</v>
      </c>
    </row>
    <row r="77" spans="2:38" ht="42.75" x14ac:dyDescent="0.2">
      <c r="B77" s="110">
        <v>68</v>
      </c>
      <c r="C77" s="165" t="s">
        <v>1754</v>
      </c>
      <c r="D77" s="165" t="s">
        <v>176</v>
      </c>
      <c r="E77" s="121">
        <v>0.11550000000000001</v>
      </c>
      <c r="F77" s="411" t="str">
        <f>IF(D77="","",VLOOKUP(D77,'G-6 Hedgerow Data'!$B$2:$AG$15,2,FALSE))</f>
        <v>Low</v>
      </c>
      <c r="G77" s="363">
        <f>IF(D77="","",VLOOKUP(D77,'G-6 Hedgerow Data'!$B$2:$AG$15,3,FALSE))</f>
        <v>2</v>
      </c>
      <c r="H77" s="114" t="s">
        <v>67</v>
      </c>
      <c r="I77" s="363">
        <f>IFERROR(VLOOKUP(H77,'G-1 All Habitats'!$Z$2:$AA$9,2,FALSE),"")</f>
        <v>2</v>
      </c>
      <c r="J77" s="114" t="s">
        <v>1037</v>
      </c>
      <c r="K77" s="370" t="str">
        <f>IF(J77="","",IF(VLOOKUP(J77,'G-3 Multipliers'!$L$3:$N$6,2,FALSE)=0,"Spatial Data Missing",VLOOKUP(J77,'G-3 Multipliers'!$L$3:$N$6,2,FALSE)))</f>
        <v>Low Strategic Significance</v>
      </c>
      <c r="L77" s="368">
        <f>IF(J77="","",IF(VLOOKUP(J77,'G-3 Multipliers'!$L$3:$N$6,3,FALSE)=0,"Spatial Data Missing ⚠",VLOOKUP(J77,'G-3 Multipliers'!$L$3:$N$6,3,FALSE)))</f>
        <v>1</v>
      </c>
      <c r="M77" s="369" t="str">
        <f>IF(D77="","",VLOOKUP(D77,'G-6 Hedgerow Data'!$B$1:$AH$15,33,FALSE))</f>
        <v>Same distinctiveness band or better</v>
      </c>
      <c r="N77" s="376">
        <f t="shared" si="9"/>
        <v>0.46200000000000002</v>
      </c>
      <c r="O77" s="32"/>
      <c r="P77" s="122">
        <v>0.11550000000000001</v>
      </c>
      <c r="Q77" s="165">
        <v>0</v>
      </c>
      <c r="R77" s="393">
        <f t="shared" si="10"/>
        <v>0.46200000000000002</v>
      </c>
      <c r="S77" s="393">
        <f t="shared" si="11"/>
        <v>0</v>
      </c>
      <c r="T77" s="393">
        <f t="shared" si="12"/>
        <v>0</v>
      </c>
      <c r="U77" s="415">
        <f t="shared" si="13"/>
        <v>0</v>
      </c>
      <c r="V77" s="119"/>
      <c r="W77" s="120"/>
      <c r="X77" s="120"/>
      <c r="AE77" s="124" t="b">
        <f t="shared" si="7"/>
        <v>1</v>
      </c>
      <c r="AF77" s="124" t="b">
        <f t="shared" si="8"/>
        <v>0</v>
      </c>
      <c r="AH77" s="124">
        <v>68</v>
      </c>
      <c r="AJ77" s="124">
        <f t="array" ref="AJ77">IFERROR(INDEX($AH$10:$AH$258, MATCH(0, IF(TRUE=$AE$10:$AE$258, COUNTIF($AJ$9:$AJ76, $AH$10:$AH$258), ""), 0)),"")</f>
        <v>82</v>
      </c>
      <c r="AK77" s="124">
        <f t="array" ref="AK77">IFERROR(INDEX($AH$10:$AH$258, MATCH(0, IF(TRUE=$AF$10:$AF$258, COUNTIF($AK$9:$AK76, $AH$10:$AH$258), ""), 0)),"")</f>
        <v>201</v>
      </c>
      <c r="AL77" s="30" t="str">
        <f>IFERROR(INDEX('G-6 Hedgerow Data'!$BJ$3:$BJ$15,MATCH(D77,'G-6 Hedgerow Data'!$B$3:$B$15,0)),"")</f>
        <v>Hedgecond1</v>
      </c>
    </row>
    <row r="78" spans="2:38" ht="28.5" x14ac:dyDescent="0.2">
      <c r="B78" s="110">
        <v>69</v>
      </c>
      <c r="C78" s="165" t="s">
        <v>1755</v>
      </c>
      <c r="D78" s="165" t="s">
        <v>168</v>
      </c>
      <c r="E78" s="121">
        <v>0.1135</v>
      </c>
      <c r="F78" s="411" t="str">
        <f>IF(D78="","",VLOOKUP(D78,'G-6 Hedgerow Data'!$B$2:$AG$15,2,FALSE))</f>
        <v>High</v>
      </c>
      <c r="G78" s="363">
        <f>IF(D78="","",VLOOKUP(D78,'G-6 Hedgerow Data'!$B$2:$AG$15,3,FALSE))</f>
        <v>6</v>
      </c>
      <c r="H78" s="114" t="s">
        <v>68</v>
      </c>
      <c r="I78" s="363">
        <f>IFERROR(VLOOKUP(H78,'G-1 All Habitats'!$Z$2:$AA$9,2,FALSE),"")</f>
        <v>3</v>
      </c>
      <c r="J78" s="114" t="s">
        <v>1037</v>
      </c>
      <c r="K78" s="370" t="str">
        <f>IF(J78="","",IF(VLOOKUP(J78,'G-3 Multipliers'!$L$3:$N$6,2,FALSE)=0,"Spatial Data Missing",VLOOKUP(J78,'G-3 Multipliers'!$L$3:$N$6,2,FALSE)))</f>
        <v>Low Strategic Significance</v>
      </c>
      <c r="L78" s="368">
        <f>IF(J78="","",IF(VLOOKUP(J78,'G-3 Multipliers'!$L$3:$N$6,3,FALSE)=0,"Spatial Data Missing ⚠",VLOOKUP(J78,'G-3 Multipliers'!$L$3:$N$6,3,FALSE)))</f>
        <v>1</v>
      </c>
      <c r="M78" s="369" t="str">
        <f>IF(D78="","",VLOOKUP(D78,'G-6 Hedgerow Data'!$B$1:$AH$15,33,FALSE))</f>
        <v>Like for like or better</v>
      </c>
      <c r="N78" s="376">
        <f t="shared" si="9"/>
        <v>2.0430000000000001</v>
      </c>
      <c r="O78" s="32"/>
      <c r="P78" s="122">
        <v>0.1135</v>
      </c>
      <c r="Q78" s="165">
        <v>0</v>
      </c>
      <c r="R78" s="393">
        <f t="shared" si="10"/>
        <v>2.0430000000000001</v>
      </c>
      <c r="S78" s="393">
        <f t="shared" si="11"/>
        <v>0</v>
      </c>
      <c r="T78" s="393">
        <f t="shared" si="12"/>
        <v>0</v>
      </c>
      <c r="U78" s="415">
        <f t="shared" si="13"/>
        <v>0</v>
      </c>
      <c r="V78" s="119"/>
      <c r="W78" s="120"/>
      <c r="X78" s="120"/>
      <c r="AE78" s="124" t="b">
        <f t="shared" si="7"/>
        <v>1</v>
      </c>
      <c r="AF78" s="124" t="b">
        <f t="shared" si="8"/>
        <v>0</v>
      </c>
      <c r="AH78" s="124">
        <v>69</v>
      </c>
      <c r="AJ78" s="124">
        <f t="array" ref="AJ78">IFERROR(INDEX($AH$10:$AH$258, MATCH(0, IF(TRUE=$AE$10:$AE$258, COUNTIF($AJ$9:$AJ77, $AH$10:$AH$258), ""), 0)),"")</f>
        <v>83</v>
      </c>
      <c r="AK78" s="124">
        <f t="array" ref="AK78">IFERROR(INDEX($AH$10:$AH$258, MATCH(0, IF(TRUE=$AF$10:$AF$258, COUNTIF($AK$9:$AK77, $AH$10:$AH$258), ""), 0)),"")</f>
        <v>202</v>
      </c>
      <c r="AL78" s="30" t="str">
        <f>IFERROR(INDEX('G-6 Hedgerow Data'!$BJ$3:$BJ$15,MATCH(D78,'G-6 Hedgerow Data'!$B$3:$B$15,0)),"")</f>
        <v>Hedgecond1</v>
      </c>
    </row>
    <row r="79" spans="2:38" ht="42.75" x14ac:dyDescent="0.2">
      <c r="B79" s="110">
        <v>70</v>
      </c>
      <c r="C79" s="165" t="s">
        <v>1756</v>
      </c>
      <c r="D79" s="165" t="s">
        <v>176</v>
      </c>
      <c r="E79" s="121">
        <v>0.24210000000000001</v>
      </c>
      <c r="F79" s="411" t="str">
        <f>IF(D79="","",VLOOKUP(D79,'G-6 Hedgerow Data'!$B$2:$AG$15,2,FALSE))</f>
        <v>Low</v>
      </c>
      <c r="G79" s="363">
        <f>IF(D79="","",VLOOKUP(D79,'G-6 Hedgerow Data'!$B$2:$AG$15,3,FALSE))</f>
        <v>2</v>
      </c>
      <c r="H79" s="114" t="s">
        <v>68</v>
      </c>
      <c r="I79" s="363">
        <f>IFERROR(VLOOKUP(H79,'G-1 All Habitats'!$Z$2:$AA$9,2,FALSE),"")</f>
        <v>3</v>
      </c>
      <c r="J79" s="114" t="s">
        <v>1037</v>
      </c>
      <c r="K79" s="370" t="str">
        <f>IF(J79="","",IF(VLOOKUP(J79,'G-3 Multipliers'!$L$3:$N$6,2,FALSE)=0,"Spatial Data Missing",VLOOKUP(J79,'G-3 Multipliers'!$L$3:$N$6,2,FALSE)))</f>
        <v>Low Strategic Significance</v>
      </c>
      <c r="L79" s="368">
        <f>IF(J79="","",IF(VLOOKUP(J79,'G-3 Multipliers'!$L$3:$N$6,3,FALSE)=0,"Spatial Data Missing ⚠",VLOOKUP(J79,'G-3 Multipliers'!$L$3:$N$6,3,FALSE)))</f>
        <v>1</v>
      </c>
      <c r="M79" s="369" t="str">
        <f>IF(D79="","",VLOOKUP(D79,'G-6 Hedgerow Data'!$B$1:$AH$15,33,FALSE))</f>
        <v>Same distinctiveness band or better</v>
      </c>
      <c r="N79" s="376">
        <f t="shared" si="9"/>
        <v>1.4526000000000001</v>
      </c>
      <c r="O79" s="32"/>
      <c r="P79" s="122">
        <v>0.23930000000000001</v>
      </c>
      <c r="Q79" s="165">
        <v>0</v>
      </c>
      <c r="R79" s="393">
        <f t="shared" si="10"/>
        <v>1.4358</v>
      </c>
      <c r="S79" s="393">
        <f t="shared" si="11"/>
        <v>0</v>
      </c>
      <c r="T79" s="393">
        <f t="shared" si="12"/>
        <v>2.7999999999999969E-3</v>
      </c>
      <c r="U79" s="415">
        <f t="shared" si="13"/>
        <v>1.6800000000000148E-2</v>
      </c>
      <c r="V79" s="119" t="s">
        <v>1948</v>
      </c>
      <c r="W79" s="120"/>
      <c r="X79" s="120"/>
      <c r="AE79" s="124" t="b">
        <f t="shared" si="7"/>
        <v>1</v>
      </c>
      <c r="AF79" s="124" t="b">
        <f t="shared" si="8"/>
        <v>0</v>
      </c>
      <c r="AH79" s="124">
        <v>70</v>
      </c>
      <c r="AJ79" s="124">
        <f t="array" ref="AJ79">IFERROR(INDEX($AH$10:$AH$258, MATCH(0, IF(TRUE=$AE$10:$AE$258, COUNTIF($AJ$9:$AJ78, $AH$10:$AH$258), ""), 0)),"")</f>
        <v>85</v>
      </c>
      <c r="AK79" s="124">
        <f t="array" ref="AK79">IFERROR(INDEX($AH$10:$AH$258, MATCH(0, IF(TRUE=$AF$10:$AF$258, COUNTIF($AK$9:$AK78, $AH$10:$AH$258), ""), 0)),"")</f>
        <v>205</v>
      </c>
      <c r="AL79" s="30" t="str">
        <f>IFERROR(INDEX('G-6 Hedgerow Data'!$BJ$3:$BJ$15,MATCH(D79,'G-6 Hedgerow Data'!$B$3:$B$15,0)),"")</f>
        <v>Hedgecond1</v>
      </c>
    </row>
    <row r="80" spans="2:38" ht="42.75" x14ac:dyDescent="0.2">
      <c r="B80" s="110">
        <v>71</v>
      </c>
      <c r="C80" s="165" t="s">
        <v>1757</v>
      </c>
      <c r="D80" s="165" t="s">
        <v>171</v>
      </c>
      <c r="E80" s="121">
        <v>0.98660000000000003</v>
      </c>
      <c r="F80" s="411" t="str">
        <f>IF(D80="","",VLOOKUP(D80,'G-6 Hedgerow Data'!$B$2:$AG$15,2,FALSE))</f>
        <v>Medium</v>
      </c>
      <c r="G80" s="363">
        <f>IF(D80="","",VLOOKUP(D80,'G-6 Hedgerow Data'!$B$2:$AG$15,3,FALSE))</f>
        <v>4</v>
      </c>
      <c r="H80" s="114" t="s">
        <v>68</v>
      </c>
      <c r="I80" s="363">
        <f>IFERROR(VLOOKUP(H80,'G-1 All Habitats'!$Z$2:$AA$9,2,FALSE),"")</f>
        <v>3</v>
      </c>
      <c r="J80" s="114" t="s">
        <v>1037</v>
      </c>
      <c r="K80" s="370" t="str">
        <f>IF(J80="","",IF(VLOOKUP(J80,'G-3 Multipliers'!$L$3:$N$6,2,FALSE)=0,"Spatial Data Missing",VLOOKUP(J80,'G-3 Multipliers'!$L$3:$N$6,2,FALSE)))</f>
        <v>Low Strategic Significance</v>
      </c>
      <c r="L80" s="368">
        <f>IF(J80="","",IF(VLOOKUP(J80,'G-3 Multipliers'!$L$3:$N$6,3,FALSE)=0,"Spatial Data Missing ⚠",VLOOKUP(J80,'G-3 Multipliers'!$L$3:$N$6,3,FALSE)))</f>
        <v>1</v>
      </c>
      <c r="M80" s="369" t="str">
        <f>IF(D80="","",VLOOKUP(D80,'G-6 Hedgerow Data'!$B$1:$AH$15,33,FALSE))</f>
        <v>Same distinctiveness band or better</v>
      </c>
      <c r="N80" s="376">
        <f t="shared" si="9"/>
        <v>11.8392</v>
      </c>
      <c r="O80" s="32"/>
      <c r="P80" s="122">
        <v>0.16020000000000001</v>
      </c>
      <c r="Q80" s="165">
        <v>0.82469999999999999</v>
      </c>
      <c r="R80" s="393">
        <f t="shared" si="10"/>
        <v>1.9224000000000001</v>
      </c>
      <c r="S80" s="393">
        <f t="shared" si="11"/>
        <v>9.8963999999999999</v>
      </c>
      <c r="T80" s="393">
        <f t="shared" si="12"/>
        <v>1.7000000000000348E-3</v>
      </c>
      <c r="U80" s="415">
        <f t="shared" si="13"/>
        <v>2.0400000000000418E-2</v>
      </c>
      <c r="V80" s="119" t="s">
        <v>1949</v>
      </c>
      <c r="W80" s="120"/>
      <c r="X80" s="120"/>
      <c r="AE80" s="124" t="b">
        <f t="shared" si="7"/>
        <v>1</v>
      </c>
      <c r="AF80" s="124" t="b">
        <f t="shared" si="8"/>
        <v>1</v>
      </c>
      <c r="AH80" s="124">
        <v>71</v>
      </c>
      <c r="AJ80" s="124">
        <f t="array" ref="AJ80">IFERROR(INDEX($AH$10:$AH$258, MATCH(0, IF(TRUE=$AE$10:$AE$258, COUNTIF($AJ$9:$AJ79, $AH$10:$AH$258), ""), 0)),"")</f>
        <v>86</v>
      </c>
      <c r="AK80" s="124">
        <f t="array" ref="AK80">IFERROR(INDEX($AH$10:$AH$258, MATCH(0, IF(TRUE=$AF$10:$AF$258, COUNTIF($AK$9:$AK79, $AH$10:$AH$258), ""), 0)),"")</f>
        <v>207</v>
      </c>
      <c r="AL80" s="30" t="str">
        <f>IFERROR(INDEX('G-6 Hedgerow Data'!$BJ$3:$BJ$15,MATCH(D80,'G-6 Hedgerow Data'!$B$3:$B$15,0)),"")</f>
        <v>Hedgecond1</v>
      </c>
    </row>
    <row r="81" spans="2:38" ht="42.75" x14ac:dyDescent="0.2">
      <c r="B81" s="110">
        <v>72</v>
      </c>
      <c r="C81" s="165" t="s">
        <v>1758</v>
      </c>
      <c r="D81" s="165" t="s">
        <v>176</v>
      </c>
      <c r="E81" s="121">
        <v>0.92490000000000006</v>
      </c>
      <c r="F81" s="411" t="str">
        <f>IF(D81="","",VLOOKUP(D81,'G-6 Hedgerow Data'!$B$2:$AG$15,2,FALSE))</f>
        <v>Low</v>
      </c>
      <c r="G81" s="363">
        <f>IF(D81="","",VLOOKUP(D81,'G-6 Hedgerow Data'!$B$2:$AG$15,3,FALSE))</f>
        <v>2</v>
      </c>
      <c r="H81" s="114" t="s">
        <v>68</v>
      </c>
      <c r="I81" s="363">
        <f>IFERROR(VLOOKUP(H81,'G-1 All Habitats'!$Z$2:$AA$9,2,FALSE),"")</f>
        <v>3</v>
      </c>
      <c r="J81" s="114" t="s">
        <v>1037</v>
      </c>
      <c r="K81" s="370" t="str">
        <f>IF(J81="","",IF(VLOOKUP(J81,'G-3 Multipliers'!$L$3:$N$6,2,FALSE)=0,"Spatial Data Missing",VLOOKUP(J81,'G-3 Multipliers'!$L$3:$N$6,2,FALSE)))</f>
        <v>Low Strategic Significance</v>
      </c>
      <c r="L81" s="368">
        <f>IF(J81="","",IF(VLOOKUP(J81,'G-3 Multipliers'!$L$3:$N$6,3,FALSE)=0,"Spatial Data Missing ⚠",VLOOKUP(J81,'G-3 Multipliers'!$L$3:$N$6,3,FALSE)))</f>
        <v>1</v>
      </c>
      <c r="M81" s="369" t="str">
        <f>IF(D81="","",VLOOKUP(D81,'G-6 Hedgerow Data'!$B$1:$AH$15,33,FALSE))</f>
        <v>Same distinctiveness band or better</v>
      </c>
      <c r="N81" s="376">
        <f t="shared" si="9"/>
        <v>5.5494000000000003</v>
      </c>
      <c r="O81" s="32"/>
      <c r="P81" s="122">
        <v>0.92490000000000006</v>
      </c>
      <c r="Q81" s="165">
        <v>0</v>
      </c>
      <c r="R81" s="393">
        <f t="shared" si="10"/>
        <v>5.5494000000000003</v>
      </c>
      <c r="S81" s="393">
        <f t="shared" si="11"/>
        <v>0</v>
      </c>
      <c r="T81" s="393">
        <f t="shared" si="12"/>
        <v>0</v>
      </c>
      <c r="U81" s="415">
        <f t="shared" si="13"/>
        <v>0</v>
      </c>
      <c r="V81" s="119"/>
      <c r="W81" s="120"/>
      <c r="X81" s="120"/>
      <c r="AE81" s="124" t="b">
        <f t="shared" si="7"/>
        <v>1</v>
      </c>
      <c r="AF81" s="124" t="b">
        <f t="shared" si="8"/>
        <v>0</v>
      </c>
      <c r="AH81" s="124">
        <v>72</v>
      </c>
      <c r="AJ81" s="124">
        <f t="array" ref="AJ81">IFERROR(INDEX($AH$10:$AH$258, MATCH(0, IF(TRUE=$AE$10:$AE$258, COUNTIF($AJ$9:$AJ80, $AH$10:$AH$258), ""), 0)),"")</f>
        <v>87</v>
      </c>
      <c r="AK81" s="124">
        <f t="array" ref="AK81">IFERROR(INDEX($AH$10:$AH$258, MATCH(0, IF(TRUE=$AF$10:$AF$258, COUNTIF($AK$9:$AK80, $AH$10:$AH$258), ""), 0)),"")</f>
        <v>213</v>
      </c>
      <c r="AL81" s="30" t="str">
        <f>IFERROR(INDEX('G-6 Hedgerow Data'!$BJ$3:$BJ$15,MATCH(D81,'G-6 Hedgerow Data'!$B$3:$B$15,0)),"")</f>
        <v>Hedgecond1</v>
      </c>
    </row>
    <row r="82" spans="2:38" ht="42.75" x14ac:dyDescent="0.2">
      <c r="B82" s="110">
        <v>73</v>
      </c>
      <c r="C82" s="165" t="s">
        <v>1759</v>
      </c>
      <c r="D82" s="165" t="s">
        <v>176</v>
      </c>
      <c r="E82" s="121">
        <v>0.25659999999999999</v>
      </c>
      <c r="F82" s="411" t="str">
        <f>IF(D82="","",VLOOKUP(D82,'G-6 Hedgerow Data'!$B$2:$AG$15,2,FALSE))</f>
        <v>Low</v>
      </c>
      <c r="G82" s="363">
        <f>IF(D82="","",VLOOKUP(D82,'G-6 Hedgerow Data'!$B$2:$AG$15,3,FALSE))</f>
        <v>2</v>
      </c>
      <c r="H82" s="114" t="s">
        <v>68</v>
      </c>
      <c r="I82" s="363">
        <f>IFERROR(VLOOKUP(H82,'G-1 All Habitats'!$Z$2:$AA$9,2,FALSE),"")</f>
        <v>3</v>
      </c>
      <c r="J82" s="114" t="s">
        <v>1037</v>
      </c>
      <c r="K82" s="370" t="str">
        <f>IF(J82="","",IF(VLOOKUP(J82,'G-3 Multipliers'!$L$3:$N$6,2,FALSE)=0,"Spatial Data Missing",VLOOKUP(J82,'G-3 Multipliers'!$L$3:$N$6,2,FALSE)))</f>
        <v>Low Strategic Significance</v>
      </c>
      <c r="L82" s="368">
        <f>IF(J82="","",IF(VLOOKUP(J82,'G-3 Multipliers'!$L$3:$N$6,3,FALSE)=0,"Spatial Data Missing ⚠",VLOOKUP(J82,'G-3 Multipliers'!$L$3:$N$6,3,FALSE)))</f>
        <v>1</v>
      </c>
      <c r="M82" s="369" t="str">
        <f>IF(D82="","",VLOOKUP(D82,'G-6 Hedgerow Data'!$B$1:$AH$15,33,FALSE))</f>
        <v>Same distinctiveness band or better</v>
      </c>
      <c r="N82" s="376">
        <f t="shared" si="9"/>
        <v>1.5396000000000001</v>
      </c>
      <c r="O82" s="32"/>
      <c r="P82" s="122">
        <v>0.25659999999999999</v>
      </c>
      <c r="Q82" s="165">
        <v>0</v>
      </c>
      <c r="R82" s="393">
        <f t="shared" si="10"/>
        <v>1.5396000000000001</v>
      </c>
      <c r="S82" s="393">
        <f t="shared" si="11"/>
        <v>0</v>
      </c>
      <c r="T82" s="393">
        <f t="shared" si="12"/>
        <v>0</v>
      </c>
      <c r="U82" s="415">
        <f t="shared" si="13"/>
        <v>0</v>
      </c>
      <c r="V82" s="119"/>
      <c r="W82" s="120"/>
      <c r="X82" s="120"/>
      <c r="AE82" s="124" t="b">
        <f t="shared" si="7"/>
        <v>1</v>
      </c>
      <c r="AF82" s="124" t="b">
        <f t="shared" si="8"/>
        <v>0</v>
      </c>
      <c r="AH82" s="124">
        <v>73</v>
      </c>
      <c r="AJ82" s="124">
        <f t="array" ref="AJ82">IFERROR(INDEX($AH$10:$AH$258, MATCH(0, IF(TRUE=$AE$10:$AE$258, COUNTIF($AJ$9:$AJ81, $AH$10:$AH$258), ""), 0)),"")</f>
        <v>89</v>
      </c>
      <c r="AK82" s="124">
        <f t="array" ref="AK82">IFERROR(INDEX($AH$10:$AH$258, MATCH(0, IF(TRUE=$AF$10:$AF$258, COUNTIF($AK$9:$AK81, $AH$10:$AH$258), ""), 0)),"")</f>
        <v>217</v>
      </c>
      <c r="AL82" s="30" t="str">
        <f>IFERROR(INDEX('G-6 Hedgerow Data'!$BJ$3:$BJ$15,MATCH(D82,'G-6 Hedgerow Data'!$B$3:$B$15,0)),"")</f>
        <v>Hedgecond1</v>
      </c>
    </row>
    <row r="83" spans="2:38" ht="42.75" x14ac:dyDescent="0.2">
      <c r="B83" s="110">
        <v>74</v>
      </c>
      <c r="C83" s="165" t="s">
        <v>1760</v>
      </c>
      <c r="D83" s="165" t="s">
        <v>171</v>
      </c>
      <c r="E83" s="121">
        <v>0.3019</v>
      </c>
      <c r="F83" s="411" t="str">
        <f>IF(D83="","",VLOOKUP(D83,'G-6 Hedgerow Data'!$B$2:$AG$15,2,FALSE))</f>
        <v>Medium</v>
      </c>
      <c r="G83" s="363">
        <f>IF(D83="","",VLOOKUP(D83,'G-6 Hedgerow Data'!$B$2:$AG$15,3,FALSE))</f>
        <v>4</v>
      </c>
      <c r="H83" s="114" t="s">
        <v>67</v>
      </c>
      <c r="I83" s="363">
        <f>IFERROR(VLOOKUP(H83,'G-1 All Habitats'!$Z$2:$AA$9,2,FALSE),"")</f>
        <v>2</v>
      </c>
      <c r="J83" s="114" t="s">
        <v>1037</v>
      </c>
      <c r="K83" s="370" t="str">
        <f>IF(J83="","",IF(VLOOKUP(J83,'G-3 Multipliers'!$L$3:$N$6,2,FALSE)=0,"Spatial Data Missing",VLOOKUP(J83,'G-3 Multipliers'!$L$3:$N$6,2,FALSE)))</f>
        <v>Low Strategic Significance</v>
      </c>
      <c r="L83" s="368">
        <f>IF(J83="","",IF(VLOOKUP(J83,'G-3 Multipliers'!$L$3:$N$6,3,FALSE)=0,"Spatial Data Missing ⚠",VLOOKUP(J83,'G-3 Multipliers'!$L$3:$N$6,3,FALSE)))</f>
        <v>1</v>
      </c>
      <c r="M83" s="369" t="str">
        <f>IF(D83="","",VLOOKUP(D83,'G-6 Hedgerow Data'!$B$1:$AH$15,33,FALSE))</f>
        <v>Same distinctiveness band or better</v>
      </c>
      <c r="N83" s="376">
        <f t="shared" si="9"/>
        <v>2.4152</v>
      </c>
      <c r="O83" s="32"/>
      <c r="P83" s="122">
        <v>0.3019</v>
      </c>
      <c r="Q83" s="165">
        <v>0</v>
      </c>
      <c r="R83" s="393">
        <f t="shared" si="10"/>
        <v>2.4152</v>
      </c>
      <c r="S83" s="393">
        <f t="shared" si="11"/>
        <v>0</v>
      </c>
      <c r="T83" s="393">
        <f t="shared" si="12"/>
        <v>0</v>
      </c>
      <c r="U83" s="415">
        <f t="shared" si="13"/>
        <v>0</v>
      </c>
      <c r="V83" s="119"/>
      <c r="W83" s="120"/>
      <c r="X83" s="120"/>
      <c r="AE83" s="124" t="b">
        <f t="shared" si="7"/>
        <v>1</v>
      </c>
      <c r="AF83" s="124" t="b">
        <f t="shared" si="8"/>
        <v>0</v>
      </c>
      <c r="AH83" s="124">
        <v>74</v>
      </c>
      <c r="AJ83" s="124">
        <f t="array" ref="AJ83">IFERROR(INDEX($AH$10:$AH$258, MATCH(0, IF(TRUE=$AE$10:$AE$258, COUNTIF($AJ$9:$AJ82, $AH$10:$AH$258), ""), 0)),"")</f>
        <v>90</v>
      </c>
      <c r="AK83" s="124">
        <f t="array" ref="AK83">IFERROR(INDEX($AH$10:$AH$258, MATCH(0, IF(TRUE=$AF$10:$AF$258, COUNTIF($AK$9:$AK82, $AH$10:$AH$258), ""), 0)),"")</f>
        <v>218</v>
      </c>
      <c r="AL83" s="30" t="str">
        <f>IFERROR(INDEX('G-6 Hedgerow Data'!$BJ$3:$BJ$15,MATCH(D83,'G-6 Hedgerow Data'!$B$3:$B$15,0)),"")</f>
        <v>Hedgecond1</v>
      </c>
    </row>
    <row r="84" spans="2:38" ht="42.75" x14ac:dyDescent="0.2">
      <c r="B84" s="110">
        <v>75</v>
      </c>
      <c r="C84" s="165" t="s">
        <v>1761</v>
      </c>
      <c r="D84" s="165" t="s">
        <v>176</v>
      </c>
      <c r="E84" s="121">
        <v>0.19439999999999999</v>
      </c>
      <c r="F84" s="411" t="str">
        <f>IF(D84="","",VLOOKUP(D84,'G-6 Hedgerow Data'!$B$2:$AG$15,2,FALSE))</f>
        <v>Low</v>
      </c>
      <c r="G84" s="363">
        <f>IF(D84="","",VLOOKUP(D84,'G-6 Hedgerow Data'!$B$2:$AG$15,3,FALSE))</f>
        <v>2</v>
      </c>
      <c r="H84" s="114" t="s">
        <v>329</v>
      </c>
      <c r="I84" s="363">
        <f>IFERROR(VLOOKUP(H84,'G-1 All Habitats'!$Z$2:$AA$9,2,FALSE),"")</f>
        <v>1</v>
      </c>
      <c r="J84" s="114" t="s">
        <v>1037</v>
      </c>
      <c r="K84" s="370" t="str">
        <f>IF(J84="","",IF(VLOOKUP(J84,'G-3 Multipliers'!$L$3:$N$6,2,FALSE)=0,"Spatial Data Missing",VLOOKUP(J84,'G-3 Multipliers'!$L$3:$N$6,2,FALSE)))</f>
        <v>Low Strategic Significance</v>
      </c>
      <c r="L84" s="368">
        <f>IF(J84="","",IF(VLOOKUP(J84,'G-3 Multipliers'!$L$3:$N$6,3,FALSE)=0,"Spatial Data Missing ⚠",VLOOKUP(J84,'G-3 Multipliers'!$L$3:$N$6,3,FALSE)))</f>
        <v>1</v>
      </c>
      <c r="M84" s="369" t="str">
        <f>IF(D84="","",VLOOKUP(D84,'G-6 Hedgerow Data'!$B$1:$AH$15,33,FALSE))</f>
        <v>Same distinctiveness band or better</v>
      </c>
      <c r="N84" s="376">
        <f t="shared" si="9"/>
        <v>0.38879999999999998</v>
      </c>
      <c r="O84" s="32"/>
      <c r="P84" s="122">
        <v>0</v>
      </c>
      <c r="Q84" s="165">
        <v>0.19439999999999999</v>
      </c>
      <c r="R84" s="393">
        <f t="shared" si="10"/>
        <v>0</v>
      </c>
      <c r="S84" s="393">
        <f t="shared" si="11"/>
        <v>0.38879999999999998</v>
      </c>
      <c r="T84" s="393">
        <f t="shared" si="12"/>
        <v>0</v>
      </c>
      <c r="U84" s="415">
        <f t="shared" si="13"/>
        <v>0</v>
      </c>
      <c r="V84" s="119"/>
      <c r="W84" s="120"/>
      <c r="X84" s="120"/>
      <c r="AE84" s="124" t="b">
        <f t="shared" si="7"/>
        <v>0</v>
      </c>
      <c r="AF84" s="124" t="b">
        <f t="shared" si="8"/>
        <v>1</v>
      </c>
      <c r="AH84" s="124">
        <v>75</v>
      </c>
      <c r="AJ84" s="124">
        <f t="array" ref="AJ84">IFERROR(INDEX($AH$10:$AH$258, MATCH(0, IF(TRUE=$AE$10:$AE$258, COUNTIF($AJ$9:$AJ83, $AH$10:$AH$258), ""), 0)),"")</f>
        <v>91</v>
      </c>
      <c r="AK84" s="124">
        <f t="array" ref="AK84">IFERROR(INDEX($AH$10:$AH$258, MATCH(0, IF(TRUE=$AF$10:$AF$258, COUNTIF($AK$9:$AK83, $AH$10:$AH$258), ""), 0)),"")</f>
        <v>223</v>
      </c>
      <c r="AL84" s="30" t="str">
        <f>IFERROR(INDEX('G-6 Hedgerow Data'!$BJ$3:$BJ$15,MATCH(D84,'G-6 Hedgerow Data'!$B$3:$B$15,0)),"")</f>
        <v>Hedgecond1</v>
      </c>
    </row>
    <row r="85" spans="2:38" ht="42.75" x14ac:dyDescent="0.2">
      <c r="B85" s="110">
        <v>76</v>
      </c>
      <c r="C85" s="165" t="s">
        <v>1762</v>
      </c>
      <c r="D85" s="165" t="s">
        <v>176</v>
      </c>
      <c r="E85" s="121">
        <v>0.12740000000000001</v>
      </c>
      <c r="F85" s="411" t="str">
        <f>IF(D85="","",VLOOKUP(D85,'G-6 Hedgerow Data'!$B$2:$AG$15,2,FALSE))</f>
        <v>Low</v>
      </c>
      <c r="G85" s="363">
        <f>IF(D85="","",VLOOKUP(D85,'G-6 Hedgerow Data'!$B$2:$AG$15,3,FALSE))</f>
        <v>2</v>
      </c>
      <c r="H85" s="114" t="s">
        <v>329</v>
      </c>
      <c r="I85" s="363">
        <f>IFERROR(VLOOKUP(H85,'G-1 All Habitats'!$Z$2:$AA$9,2,FALSE),"")</f>
        <v>1</v>
      </c>
      <c r="J85" s="114" t="s">
        <v>1037</v>
      </c>
      <c r="K85" s="370" t="str">
        <f>IF(J85="","",IF(VLOOKUP(J85,'G-3 Multipliers'!$L$3:$N$6,2,FALSE)=0,"Spatial Data Missing",VLOOKUP(J85,'G-3 Multipliers'!$L$3:$N$6,2,FALSE)))</f>
        <v>Low Strategic Significance</v>
      </c>
      <c r="L85" s="368">
        <f>IF(J85="","",IF(VLOOKUP(J85,'G-3 Multipliers'!$L$3:$N$6,3,FALSE)=0,"Spatial Data Missing ⚠",VLOOKUP(J85,'G-3 Multipliers'!$L$3:$N$6,3,FALSE)))</f>
        <v>1</v>
      </c>
      <c r="M85" s="369" t="str">
        <f>IF(D85="","",VLOOKUP(D85,'G-6 Hedgerow Data'!$B$1:$AH$15,33,FALSE))</f>
        <v>Same distinctiveness band or better</v>
      </c>
      <c r="N85" s="376">
        <f t="shared" si="9"/>
        <v>0.25480000000000003</v>
      </c>
      <c r="O85" s="32"/>
      <c r="P85" s="122">
        <v>0.12740000000000001</v>
      </c>
      <c r="Q85" s="165">
        <v>0</v>
      </c>
      <c r="R85" s="393">
        <f t="shared" si="10"/>
        <v>0.25480000000000003</v>
      </c>
      <c r="S85" s="393">
        <f t="shared" si="11"/>
        <v>0</v>
      </c>
      <c r="T85" s="393">
        <f t="shared" si="12"/>
        <v>0</v>
      </c>
      <c r="U85" s="415">
        <f t="shared" si="13"/>
        <v>0</v>
      </c>
      <c r="V85" s="119"/>
      <c r="W85" s="120"/>
      <c r="X85" s="120"/>
      <c r="AE85" s="124" t="b">
        <f t="shared" si="7"/>
        <v>1</v>
      </c>
      <c r="AF85" s="124" t="b">
        <f t="shared" si="8"/>
        <v>0</v>
      </c>
      <c r="AH85" s="124">
        <v>76</v>
      </c>
      <c r="AJ85" s="124">
        <f t="array" ref="AJ85">IFERROR(INDEX($AH$10:$AH$258, MATCH(0, IF(TRUE=$AE$10:$AE$258, COUNTIF($AJ$9:$AJ84, $AH$10:$AH$258), ""), 0)),"")</f>
        <v>92</v>
      </c>
      <c r="AK85" s="124">
        <f t="array" ref="AK85">IFERROR(INDEX($AH$10:$AH$258, MATCH(0, IF(TRUE=$AF$10:$AF$258, COUNTIF($AK$9:$AK84, $AH$10:$AH$258), ""), 0)),"")</f>
        <v>224</v>
      </c>
      <c r="AL85" s="30" t="str">
        <f>IFERROR(INDEX('G-6 Hedgerow Data'!$BJ$3:$BJ$15,MATCH(D85,'G-6 Hedgerow Data'!$B$3:$B$15,0)),"")</f>
        <v>Hedgecond1</v>
      </c>
    </row>
    <row r="86" spans="2:38" ht="42.75" x14ac:dyDescent="0.2">
      <c r="B86" s="110">
        <v>77</v>
      </c>
      <c r="C86" s="165" t="s">
        <v>1763</v>
      </c>
      <c r="D86" s="165" t="s">
        <v>176</v>
      </c>
      <c r="E86" s="121">
        <v>0.1507</v>
      </c>
      <c r="F86" s="411" t="str">
        <f>IF(D86="","",VLOOKUP(D86,'G-6 Hedgerow Data'!$B$2:$AG$15,2,FALSE))</f>
        <v>Low</v>
      </c>
      <c r="G86" s="363">
        <f>IF(D86="","",VLOOKUP(D86,'G-6 Hedgerow Data'!$B$2:$AG$15,3,FALSE))</f>
        <v>2</v>
      </c>
      <c r="H86" s="114" t="s">
        <v>329</v>
      </c>
      <c r="I86" s="363">
        <f>IFERROR(VLOOKUP(H86,'G-1 All Habitats'!$Z$2:$AA$9,2,FALSE),"")</f>
        <v>1</v>
      </c>
      <c r="J86" s="114" t="s">
        <v>1037</v>
      </c>
      <c r="K86" s="370" t="str">
        <f>IF(J86="","",IF(VLOOKUP(J86,'G-3 Multipliers'!$L$3:$N$6,2,FALSE)=0,"Spatial Data Missing",VLOOKUP(J86,'G-3 Multipliers'!$L$3:$N$6,2,FALSE)))</f>
        <v>Low Strategic Significance</v>
      </c>
      <c r="L86" s="368">
        <f>IF(J86="","",IF(VLOOKUP(J86,'G-3 Multipliers'!$L$3:$N$6,3,FALSE)=0,"Spatial Data Missing ⚠",VLOOKUP(J86,'G-3 Multipliers'!$L$3:$N$6,3,FALSE)))</f>
        <v>1</v>
      </c>
      <c r="M86" s="369" t="str">
        <f>IF(D86="","",VLOOKUP(D86,'G-6 Hedgerow Data'!$B$1:$AH$15,33,FALSE))</f>
        <v>Same distinctiveness band or better</v>
      </c>
      <c r="N86" s="376">
        <f t="shared" si="9"/>
        <v>0.3014</v>
      </c>
      <c r="O86" s="32"/>
      <c r="P86" s="122">
        <v>0.1507</v>
      </c>
      <c r="Q86" s="165">
        <v>0</v>
      </c>
      <c r="R86" s="393">
        <f t="shared" si="10"/>
        <v>0.3014</v>
      </c>
      <c r="S86" s="393">
        <f t="shared" si="11"/>
        <v>0</v>
      </c>
      <c r="T86" s="393">
        <f t="shared" si="12"/>
        <v>0</v>
      </c>
      <c r="U86" s="415">
        <f t="shared" si="13"/>
        <v>0</v>
      </c>
      <c r="V86" s="119"/>
      <c r="W86" s="120"/>
      <c r="X86" s="120"/>
      <c r="AE86" s="124" t="b">
        <f t="shared" si="7"/>
        <v>1</v>
      </c>
      <c r="AF86" s="124" t="b">
        <f t="shared" si="8"/>
        <v>0</v>
      </c>
      <c r="AH86" s="124">
        <v>77</v>
      </c>
      <c r="AJ86" s="124">
        <f t="array" ref="AJ86">IFERROR(INDEX($AH$10:$AH$258, MATCH(0, IF(TRUE=$AE$10:$AE$258, COUNTIF($AJ$9:$AJ85, $AH$10:$AH$258), ""), 0)),"")</f>
        <v>93</v>
      </c>
      <c r="AK86" s="124">
        <f t="array" ref="AK86">IFERROR(INDEX($AH$10:$AH$258, MATCH(0, IF(TRUE=$AF$10:$AF$258, COUNTIF($AK$9:$AK85, $AH$10:$AH$258), ""), 0)),"")</f>
        <v>225</v>
      </c>
      <c r="AL86" s="30" t="str">
        <f>IFERROR(INDEX('G-6 Hedgerow Data'!$BJ$3:$BJ$15,MATCH(D86,'G-6 Hedgerow Data'!$B$3:$B$15,0)),"")</f>
        <v>Hedgecond1</v>
      </c>
    </row>
    <row r="87" spans="2:38" ht="42.75" x14ac:dyDescent="0.2">
      <c r="B87" s="110">
        <v>78</v>
      </c>
      <c r="C87" s="165" t="s">
        <v>1764</v>
      </c>
      <c r="D87" s="165" t="s">
        <v>176</v>
      </c>
      <c r="E87" s="121">
        <v>6.1199999999999997E-2</v>
      </c>
      <c r="F87" s="411" t="str">
        <f>IF(D87="","",VLOOKUP(D87,'G-6 Hedgerow Data'!$B$2:$AG$15,2,FALSE))</f>
        <v>Low</v>
      </c>
      <c r="G87" s="363">
        <f>IF(D87="","",VLOOKUP(D87,'G-6 Hedgerow Data'!$B$2:$AG$15,3,FALSE))</f>
        <v>2</v>
      </c>
      <c r="H87" s="114" t="s">
        <v>67</v>
      </c>
      <c r="I87" s="363">
        <f>IFERROR(VLOOKUP(H87,'G-1 All Habitats'!$Z$2:$AA$9,2,FALSE),"")</f>
        <v>2</v>
      </c>
      <c r="J87" s="114" t="s">
        <v>1037</v>
      </c>
      <c r="K87" s="370" t="str">
        <f>IF(J87="","",IF(VLOOKUP(J87,'G-3 Multipliers'!$L$3:$N$6,2,FALSE)=0,"Spatial Data Missing",VLOOKUP(J87,'G-3 Multipliers'!$L$3:$N$6,2,FALSE)))</f>
        <v>Low Strategic Significance</v>
      </c>
      <c r="L87" s="368">
        <f>IF(J87="","",IF(VLOOKUP(J87,'G-3 Multipliers'!$L$3:$N$6,3,FALSE)=0,"Spatial Data Missing ⚠",VLOOKUP(J87,'G-3 Multipliers'!$L$3:$N$6,3,FALSE)))</f>
        <v>1</v>
      </c>
      <c r="M87" s="369" t="str">
        <f>IF(D87="","",VLOOKUP(D87,'G-6 Hedgerow Data'!$B$1:$AH$15,33,FALSE))</f>
        <v>Same distinctiveness band or better</v>
      </c>
      <c r="N87" s="376">
        <f t="shared" si="9"/>
        <v>0.24479999999999999</v>
      </c>
      <c r="O87" s="32"/>
      <c r="P87" s="122">
        <v>0</v>
      </c>
      <c r="Q87" s="165">
        <v>6.1199999999999997E-2</v>
      </c>
      <c r="R87" s="393">
        <f t="shared" si="10"/>
        <v>0</v>
      </c>
      <c r="S87" s="393">
        <f t="shared" si="11"/>
        <v>0.24479999999999999</v>
      </c>
      <c r="T87" s="393">
        <f t="shared" si="12"/>
        <v>0</v>
      </c>
      <c r="U87" s="415">
        <f t="shared" si="13"/>
        <v>0</v>
      </c>
      <c r="V87" s="119"/>
      <c r="W87" s="120"/>
      <c r="X87" s="120"/>
      <c r="AE87" s="124" t="b">
        <f t="shared" si="7"/>
        <v>0</v>
      </c>
      <c r="AF87" s="124" t="b">
        <f t="shared" si="8"/>
        <v>1</v>
      </c>
      <c r="AH87" s="124">
        <v>78</v>
      </c>
      <c r="AJ87" s="124">
        <f t="array" ref="AJ87">IFERROR(INDEX($AH$10:$AH$258, MATCH(0, IF(TRUE=$AE$10:$AE$258, COUNTIF($AJ$9:$AJ86, $AH$10:$AH$258), ""), 0)),"")</f>
        <v>94</v>
      </c>
      <c r="AK87" s="124">
        <f t="array" ref="AK87">IFERROR(INDEX($AH$10:$AH$258, MATCH(0, IF(TRUE=$AF$10:$AF$258, COUNTIF($AK$9:$AK86, $AH$10:$AH$258), ""), 0)),"")</f>
        <v>226</v>
      </c>
      <c r="AL87" s="30" t="str">
        <f>IFERROR(INDEX('G-6 Hedgerow Data'!$BJ$3:$BJ$15,MATCH(D87,'G-6 Hedgerow Data'!$B$3:$B$15,0)),"")</f>
        <v>Hedgecond1</v>
      </c>
    </row>
    <row r="88" spans="2:38" ht="42.75" x14ac:dyDescent="0.2">
      <c r="B88" s="110">
        <v>79</v>
      </c>
      <c r="C88" s="165" t="s">
        <v>1765</v>
      </c>
      <c r="D88" s="165" t="s">
        <v>176</v>
      </c>
      <c r="E88" s="121">
        <v>0.31340000000000001</v>
      </c>
      <c r="F88" s="411" t="str">
        <f>IF(D88="","",VLOOKUP(D88,'G-6 Hedgerow Data'!$B$2:$AG$15,2,FALSE))</f>
        <v>Low</v>
      </c>
      <c r="G88" s="363">
        <f>IF(D88="","",VLOOKUP(D88,'G-6 Hedgerow Data'!$B$2:$AG$15,3,FALSE))</f>
        <v>2</v>
      </c>
      <c r="H88" s="114" t="s">
        <v>67</v>
      </c>
      <c r="I88" s="363">
        <f>IFERROR(VLOOKUP(H88,'G-1 All Habitats'!$Z$2:$AA$9,2,FALSE),"")</f>
        <v>2</v>
      </c>
      <c r="J88" s="114" t="s">
        <v>1037</v>
      </c>
      <c r="K88" s="370" t="str">
        <f>IF(J88="","",IF(VLOOKUP(J88,'G-3 Multipliers'!$L$3:$N$6,2,FALSE)=0,"Spatial Data Missing",VLOOKUP(J88,'G-3 Multipliers'!$L$3:$N$6,2,FALSE)))</f>
        <v>Low Strategic Significance</v>
      </c>
      <c r="L88" s="368">
        <f>IF(J88="","",IF(VLOOKUP(J88,'G-3 Multipliers'!$L$3:$N$6,3,FALSE)=0,"Spatial Data Missing ⚠",VLOOKUP(J88,'G-3 Multipliers'!$L$3:$N$6,3,FALSE)))</f>
        <v>1</v>
      </c>
      <c r="M88" s="369" t="str">
        <f>IF(D88="","",VLOOKUP(D88,'G-6 Hedgerow Data'!$B$1:$AH$15,33,FALSE))</f>
        <v>Same distinctiveness band or better</v>
      </c>
      <c r="N88" s="376">
        <f t="shared" si="9"/>
        <v>1.2536</v>
      </c>
      <c r="O88" s="32"/>
      <c r="P88" s="122">
        <v>0.31340000000000001</v>
      </c>
      <c r="Q88" s="165">
        <v>0</v>
      </c>
      <c r="R88" s="393">
        <f t="shared" si="10"/>
        <v>1.2536</v>
      </c>
      <c r="S88" s="393">
        <f t="shared" si="11"/>
        <v>0</v>
      </c>
      <c r="T88" s="393">
        <f t="shared" si="12"/>
        <v>0</v>
      </c>
      <c r="U88" s="415">
        <f t="shared" si="13"/>
        <v>0</v>
      </c>
      <c r="V88" s="119"/>
      <c r="W88" s="120"/>
      <c r="X88" s="120"/>
      <c r="AE88" s="124" t="b">
        <f t="shared" si="7"/>
        <v>1</v>
      </c>
      <c r="AF88" s="124" t="b">
        <f t="shared" si="8"/>
        <v>0</v>
      </c>
      <c r="AH88" s="124">
        <v>79</v>
      </c>
      <c r="AJ88" s="124">
        <f t="array" ref="AJ88">IFERROR(INDEX($AH$10:$AH$258, MATCH(0, IF(TRUE=$AE$10:$AE$258, COUNTIF($AJ$9:$AJ87, $AH$10:$AH$258), ""), 0)),"")</f>
        <v>95</v>
      </c>
      <c r="AK88" s="124">
        <f t="array" ref="AK88">IFERROR(INDEX($AH$10:$AH$258, MATCH(0, IF(TRUE=$AF$10:$AF$258, COUNTIF($AK$9:$AK87, $AH$10:$AH$258), ""), 0)),"")</f>
        <v>229</v>
      </c>
      <c r="AL88" s="30" t="str">
        <f>IFERROR(INDEX('G-6 Hedgerow Data'!$BJ$3:$BJ$15,MATCH(D88,'G-6 Hedgerow Data'!$B$3:$B$15,0)),"")</f>
        <v>Hedgecond1</v>
      </c>
    </row>
    <row r="89" spans="2:38" ht="42.75" x14ac:dyDescent="0.2">
      <c r="B89" s="110">
        <v>80</v>
      </c>
      <c r="C89" s="165" t="s">
        <v>1766</v>
      </c>
      <c r="D89" s="165" t="s">
        <v>176</v>
      </c>
      <c r="E89" s="121">
        <v>0.2606</v>
      </c>
      <c r="F89" s="411" t="str">
        <f>IF(D89="","",VLOOKUP(D89,'G-6 Hedgerow Data'!$B$2:$AG$15,2,FALSE))</f>
        <v>Low</v>
      </c>
      <c r="G89" s="363">
        <f>IF(D89="","",VLOOKUP(D89,'G-6 Hedgerow Data'!$B$2:$AG$15,3,FALSE))</f>
        <v>2</v>
      </c>
      <c r="H89" s="114" t="s">
        <v>67</v>
      </c>
      <c r="I89" s="363">
        <f>IFERROR(VLOOKUP(H89,'G-1 All Habitats'!$Z$2:$AA$9,2,FALSE),"")</f>
        <v>2</v>
      </c>
      <c r="J89" s="114" t="s">
        <v>1037</v>
      </c>
      <c r="K89" s="370" t="str">
        <f>IF(J89="","",IF(VLOOKUP(J89,'G-3 Multipliers'!$L$3:$N$6,2,FALSE)=0,"Spatial Data Missing",VLOOKUP(J89,'G-3 Multipliers'!$L$3:$N$6,2,FALSE)))</f>
        <v>Low Strategic Significance</v>
      </c>
      <c r="L89" s="368">
        <f>IF(J89="","",IF(VLOOKUP(J89,'G-3 Multipliers'!$L$3:$N$6,3,FALSE)=0,"Spatial Data Missing ⚠",VLOOKUP(J89,'G-3 Multipliers'!$L$3:$N$6,3,FALSE)))</f>
        <v>1</v>
      </c>
      <c r="M89" s="369" t="str">
        <f>IF(D89="","",VLOOKUP(D89,'G-6 Hedgerow Data'!$B$1:$AH$15,33,FALSE))</f>
        <v>Same distinctiveness band or better</v>
      </c>
      <c r="N89" s="376">
        <f t="shared" si="9"/>
        <v>1.0424</v>
      </c>
      <c r="O89" s="32"/>
      <c r="P89" s="122">
        <v>0</v>
      </c>
      <c r="Q89" s="165">
        <v>0.2606</v>
      </c>
      <c r="R89" s="393">
        <f t="shared" si="10"/>
        <v>0</v>
      </c>
      <c r="S89" s="393">
        <f t="shared" si="11"/>
        <v>1.0424</v>
      </c>
      <c r="T89" s="393">
        <f t="shared" si="12"/>
        <v>0</v>
      </c>
      <c r="U89" s="415">
        <f t="shared" si="13"/>
        <v>0</v>
      </c>
      <c r="V89" s="119"/>
      <c r="W89" s="120"/>
      <c r="X89" s="120"/>
      <c r="AE89" s="124" t="b">
        <f t="shared" si="7"/>
        <v>0</v>
      </c>
      <c r="AF89" s="124" t="b">
        <f t="shared" si="8"/>
        <v>1</v>
      </c>
      <c r="AH89" s="124">
        <v>80</v>
      </c>
      <c r="AJ89" s="124">
        <f t="array" ref="AJ89">IFERROR(INDEX($AH$10:$AH$258, MATCH(0, IF(TRUE=$AE$10:$AE$258, COUNTIF($AJ$9:$AJ88, $AH$10:$AH$258), ""), 0)),"")</f>
        <v>96</v>
      </c>
      <c r="AK89" s="124">
        <f t="array" ref="AK89">IFERROR(INDEX($AH$10:$AH$258, MATCH(0, IF(TRUE=$AF$10:$AF$258, COUNTIF($AK$9:$AK88, $AH$10:$AH$258), ""), 0)),"")</f>
        <v>231</v>
      </c>
      <c r="AL89" s="30" t="str">
        <f>IFERROR(INDEX('G-6 Hedgerow Data'!$BJ$3:$BJ$15,MATCH(D89,'G-6 Hedgerow Data'!$B$3:$B$15,0)),"")</f>
        <v>Hedgecond1</v>
      </c>
    </row>
    <row r="90" spans="2:38" ht="42.75" x14ac:dyDescent="0.2">
      <c r="B90" s="110">
        <v>81</v>
      </c>
      <c r="C90" s="165" t="s">
        <v>1767</v>
      </c>
      <c r="D90" s="165" t="s">
        <v>176</v>
      </c>
      <c r="E90" s="121">
        <v>0.35580000000000001</v>
      </c>
      <c r="F90" s="411" t="str">
        <f>IF(D90="","",VLOOKUP(D90,'G-6 Hedgerow Data'!$B$2:$AG$15,2,FALSE))</f>
        <v>Low</v>
      </c>
      <c r="G90" s="363">
        <f>IF(D90="","",VLOOKUP(D90,'G-6 Hedgerow Data'!$B$2:$AG$15,3,FALSE))</f>
        <v>2</v>
      </c>
      <c r="H90" s="114" t="s">
        <v>67</v>
      </c>
      <c r="I90" s="363">
        <f>IFERROR(VLOOKUP(H90,'G-1 All Habitats'!$Z$2:$AA$9,2,FALSE),"")</f>
        <v>2</v>
      </c>
      <c r="J90" s="114" t="s">
        <v>1037</v>
      </c>
      <c r="K90" s="370" t="str">
        <f>IF(J90="","",IF(VLOOKUP(J90,'G-3 Multipliers'!$L$3:$N$6,2,FALSE)=0,"Spatial Data Missing",VLOOKUP(J90,'G-3 Multipliers'!$L$3:$N$6,2,FALSE)))</f>
        <v>Low Strategic Significance</v>
      </c>
      <c r="L90" s="368">
        <f>IF(J90="","",IF(VLOOKUP(J90,'G-3 Multipliers'!$L$3:$N$6,3,FALSE)=0,"Spatial Data Missing ⚠",VLOOKUP(J90,'G-3 Multipliers'!$L$3:$N$6,3,FALSE)))</f>
        <v>1</v>
      </c>
      <c r="M90" s="369" t="str">
        <f>IF(D90="","",VLOOKUP(D90,'G-6 Hedgerow Data'!$B$1:$AH$15,33,FALSE))</f>
        <v>Same distinctiveness band or better</v>
      </c>
      <c r="N90" s="376">
        <f t="shared" si="9"/>
        <v>1.4232</v>
      </c>
      <c r="O90" s="32"/>
      <c r="P90" s="122">
        <v>0.35580000000000001</v>
      </c>
      <c r="Q90" s="165">
        <v>0</v>
      </c>
      <c r="R90" s="393">
        <f t="shared" si="10"/>
        <v>1.4232</v>
      </c>
      <c r="S90" s="393">
        <f t="shared" si="11"/>
        <v>0</v>
      </c>
      <c r="T90" s="393">
        <f t="shared" si="12"/>
        <v>0</v>
      </c>
      <c r="U90" s="415">
        <f t="shared" si="13"/>
        <v>0</v>
      </c>
      <c r="V90" s="119"/>
      <c r="W90" s="120"/>
      <c r="X90" s="120"/>
      <c r="AE90" s="124" t="b">
        <f t="shared" si="7"/>
        <v>1</v>
      </c>
      <c r="AF90" s="124" t="b">
        <f t="shared" si="8"/>
        <v>0</v>
      </c>
      <c r="AH90" s="124">
        <v>81</v>
      </c>
      <c r="AJ90" s="124">
        <f t="array" ref="AJ90">IFERROR(INDEX($AH$10:$AH$258, MATCH(0, IF(TRUE=$AE$10:$AE$258, COUNTIF($AJ$9:$AJ89, $AH$10:$AH$258), ""), 0)),"")</f>
        <v>97</v>
      </c>
      <c r="AK90" s="124">
        <f t="array" ref="AK90">IFERROR(INDEX($AH$10:$AH$258, MATCH(0, IF(TRUE=$AF$10:$AF$258, COUNTIF($AK$9:$AK89, $AH$10:$AH$258), ""), 0)),"")</f>
        <v>237</v>
      </c>
      <c r="AL90" s="30" t="str">
        <f>IFERROR(INDEX('G-6 Hedgerow Data'!$BJ$3:$BJ$15,MATCH(D90,'G-6 Hedgerow Data'!$B$3:$B$15,0)),"")</f>
        <v>Hedgecond1</v>
      </c>
    </row>
    <row r="91" spans="2:38" ht="42.75" x14ac:dyDescent="0.2">
      <c r="B91" s="110">
        <v>82</v>
      </c>
      <c r="C91" s="165" t="s">
        <v>1768</v>
      </c>
      <c r="D91" s="165" t="s">
        <v>171</v>
      </c>
      <c r="E91" s="121">
        <v>0.45650000000000002</v>
      </c>
      <c r="F91" s="411" t="str">
        <f>IF(D91="","",VLOOKUP(D91,'G-6 Hedgerow Data'!$B$2:$AG$15,2,FALSE))</f>
        <v>Medium</v>
      </c>
      <c r="G91" s="363">
        <f>IF(D91="","",VLOOKUP(D91,'G-6 Hedgerow Data'!$B$2:$AG$15,3,FALSE))</f>
        <v>4</v>
      </c>
      <c r="H91" s="114" t="s">
        <v>67</v>
      </c>
      <c r="I91" s="363">
        <f>IFERROR(VLOOKUP(H91,'G-1 All Habitats'!$Z$2:$AA$9,2,FALSE),"")</f>
        <v>2</v>
      </c>
      <c r="J91" s="114" t="s">
        <v>1037</v>
      </c>
      <c r="K91" s="370" t="str">
        <f>IF(J91="","",IF(VLOOKUP(J91,'G-3 Multipliers'!$L$3:$N$6,2,FALSE)=0,"Spatial Data Missing",VLOOKUP(J91,'G-3 Multipliers'!$L$3:$N$6,2,FALSE)))</f>
        <v>Low Strategic Significance</v>
      </c>
      <c r="L91" s="368">
        <f>IF(J91="","",IF(VLOOKUP(J91,'G-3 Multipliers'!$L$3:$N$6,3,FALSE)=0,"Spatial Data Missing ⚠",VLOOKUP(J91,'G-3 Multipliers'!$L$3:$N$6,3,FALSE)))</f>
        <v>1</v>
      </c>
      <c r="M91" s="369" t="str">
        <f>IF(D91="","",VLOOKUP(D91,'G-6 Hedgerow Data'!$B$1:$AH$15,33,FALSE))</f>
        <v>Same distinctiveness band or better</v>
      </c>
      <c r="N91" s="376">
        <f t="shared" si="9"/>
        <v>3.6520000000000001</v>
      </c>
      <c r="O91" s="32"/>
      <c r="P91" s="122">
        <v>0.25409999999999999</v>
      </c>
      <c r="Q91" s="165">
        <v>0.2024</v>
      </c>
      <c r="R91" s="393">
        <f t="shared" si="10"/>
        <v>2.0327999999999999</v>
      </c>
      <c r="S91" s="393">
        <f t="shared" si="11"/>
        <v>1.6192</v>
      </c>
      <c r="T91" s="393">
        <f t="shared" si="12"/>
        <v>2.7755575615628914E-17</v>
      </c>
      <c r="U91" s="415">
        <f t="shared" si="13"/>
        <v>2.2204460492503131E-16</v>
      </c>
      <c r="V91" s="119"/>
      <c r="W91" s="120"/>
      <c r="X91" s="120"/>
      <c r="AE91" s="124" t="b">
        <f t="shared" si="7"/>
        <v>1</v>
      </c>
      <c r="AF91" s="124" t="b">
        <f t="shared" si="8"/>
        <v>1</v>
      </c>
      <c r="AH91" s="124">
        <v>82</v>
      </c>
      <c r="AJ91" s="124">
        <f t="array" ref="AJ91">IFERROR(INDEX($AH$10:$AH$258, MATCH(0, IF(TRUE=$AE$10:$AE$258, COUNTIF($AJ$9:$AJ90, $AH$10:$AH$258), ""), 0)),"")</f>
        <v>98</v>
      </c>
      <c r="AK91" s="124">
        <f t="array" ref="AK91">IFERROR(INDEX($AH$10:$AH$258, MATCH(0, IF(TRUE=$AF$10:$AF$258, COUNTIF($AK$9:$AK90, $AH$10:$AH$258), ""), 0)),"")</f>
        <v>240</v>
      </c>
      <c r="AL91" s="30" t="str">
        <f>IFERROR(INDEX('G-6 Hedgerow Data'!$BJ$3:$BJ$15,MATCH(D91,'G-6 Hedgerow Data'!$B$3:$B$15,0)),"")</f>
        <v>Hedgecond1</v>
      </c>
    </row>
    <row r="92" spans="2:38" ht="42.75" x14ac:dyDescent="0.2">
      <c r="B92" s="110">
        <v>83</v>
      </c>
      <c r="C92" s="165" t="s">
        <v>1769</v>
      </c>
      <c r="D92" s="165" t="s">
        <v>176</v>
      </c>
      <c r="E92" s="121">
        <v>0.39489999999999997</v>
      </c>
      <c r="F92" s="411" t="str">
        <f>IF(D92="","",VLOOKUP(D92,'G-6 Hedgerow Data'!$B$2:$AG$15,2,FALSE))</f>
        <v>Low</v>
      </c>
      <c r="G92" s="363">
        <f>IF(D92="","",VLOOKUP(D92,'G-6 Hedgerow Data'!$B$2:$AG$15,3,FALSE))</f>
        <v>2</v>
      </c>
      <c r="H92" s="114" t="s">
        <v>67</v>
      </c>
      <c r="I92" s="363">
        <f>IFERROR(VLOOKUP(H92,'G-1 All Habitats'!$Z$2:$AA$9,2,FALSE),"")</f>
        <v>2</v>
      </c>
      <c r="J92" s="114" t="s">
        <v>1037</v>
      </c>
      <c r="K92" s="370" t="str">
        <f>IF(J92="","",IF(VLOOKUP(J92,'G-3 Multipliers'!$L$3:$N$6,2,FALSE)=0,"Spatial Data Missing",VLOOKUP(J92,'G-3 Multipliers'!$L$3:$N$6,2,FALSE)))</f>
        <v>Low Strategic Significance</v>
      </c>
      <c r="L92" s="368">
        <f>IF(J92="","",IF(VLOOKUP(J92,'G-3 Multipliers'!$L$3:$N$6,3,FALSE)=0,"Spatial Data Missing ⚠",VLOOKUP(J92,'G-3 Multipliers'!$L$3:$N$6,3,FALSE)))</f>
        <v>1</v>
      </c>
      <c r="M92" s="369" t="str">
        <f>IF(D92="","",VLOOKUP(D92,'G-6 Hedgerow Data'!$B$1:$AH$15,33,FALSE))</f>
        <v>Same distinctiveness band or better</v>
      </c>
      <c r="N92" s="376">
        <f t="shared" si="9"/>
        <v>1.5795999999999999</v>
      </c>
      <c r="O92" s="32"/>
      <c r="P92" s="122">
        <v>0.39489999999999997</v>
      </c>
      <c r="Q92" s="165">
        <v>0</v>
      </c>
      <c r="R92" s="393">
        <f t="shared" si="10"/>
        <v>1.5795999999999999</v>
      </c>
      <c r="S92" s="393">
        <f t="shared" si="11"/>
        <v>0</v>
      </c>
      <c r="T92" s="393">
        <f t="shared" si="12"/>
        <v>0</v>
      </c>
      <c r="U92" s="415">
        <f t="shared" si="13"/>
        <v>0</v>
      </c>
      <c r="V92" s="119"/>
      <c r="W92" s="120"/>
      <c r="X92" s="120"/>
      <c r="AE92" s="124" t="b">
        <f t="shared" si="7"/>
        <v>1</v>
      </c>
      <c r="AF92" s="124" t="b">
        <f t="shared" si="8"/>
        <v>0</v>
      </c>
      <c r="AH92" s="124">
        <v>83</v>
      </c>
      <c r="AJ92" s="124">
        <f t="array" ref="AJ92">IFERROR(INDEX($AH$10:$AH$258, MATCH(0, IF(TRUE=$AE$10:$AE$258, COUNTIF($AJ$9:$AJ91, $AH$10:$AH$258), ""), 0)),"")</f>
        <v>99</v>
      </c>
      <c r="AK92" s="124" t="str">
        <f t="array" ref="AK92">IFERROR(INDEX($AH$10:$AH$258, MATCH(0, IF(TRUE=$AF$10:$AF$258, COUNTIF($AK$9:$AK91, $AH$10:$AH$258), ""), 0)),"")</f>
        <v/>
      </c>
      <c r="AL92" s="30" t="str">
        <f>IFERROR(INDEX('G-6 Hedgerow Data'!$BJ$3:$BJ$15,MATCH(D92,'G-6 Hedgerow Data'!$B$3:$B$15,0)),"")</f>
        <v>Hedgecond1</v>
      </c>
    </row>
    <row r="93" spans="2:38" ht="42.75" x14ac:dyDescent="0.2">
      <c r="B93" s="110">
        <v>84</v>
      </c>
      <c r="C93" s="165" t="s">
        <v>1770</v>
      </c>
      <c r="D93" s="165" t="s">
        <v>176</v>
      </c>
      <c r="E93" s="121">
        <v>0.25069999999999998</v>
      </c>
      <c r="F93" s="411" t="str">
        <f>IF(D93="","",VLOOKUP(D93,'G-6 Hedgerow Data'!$B$2:$AG$15,2,FALSE))</f>
        <v>Low</v>
      </c>
      <c r="G93" s="363">
        <f>IF(D93="","",VLOOKUP(D93,'G-6 Hedgerow Data'!$B$2:$AG$15,3,FALSE))</f>
        <v>2</v>
      </c>
      <c r="H93" s="114" t="s">
        <v>67</v>
      </c>
      <c r="I93" s="363">
        <f>IFERROR(VLOOKUP(H93,'G-1 All Habitats'!$Z$2:$AA$9,2,FALSE),"")</f>
        <v>2</v>
      </c>
      <c r="J93" s="114" t="s">
        <v>1037</v>
      </c>
      <c r="K93" s="370" t="str">
        <f>IF(J93="","",IF(VLOOKUP(J93,'G-3 Multipliers'!$L$3:$N$6,2,FALSE)=0,"Spatial Data Missing",VLOOKUP(J93,'G-3 Multipliers'!$L$3:$N$6,2,FALSE)))</f>
        <v>Low Strategic Significance</v>
      </c>
      <c r="L93" s="368">
        <f>IF(J93="","",IF(VLOOKUP(J93,'G-3 Multipliers'!$L$3:$N$6,3,FALSE)=0,"Spatial Data Missing ⚠",VLOOKUP(J93,'G-3 Multipliers'!$L$3:$N$6,3,FALSE)))</f>
        <v>1</v>
      </c>
      <c r="M93" s="369" t="str">
        <f>IF(D93="","",VLOOKUP(D93,'G-6 Hedgerow Data'!$B$1:$AH$15,33,FALSE))</f>
        <v>Same distinctiveness band or better</v>
      </c>
      <c r="N93" s="376">
        <f t="shared" si="9"/>
        <v>1.0027999999999999</v>
      </c>
      <c r="O93" s="32"/>
      <c r="P93" s="122">
        <v>0</v>
      </c>
      <c r="Q93" s="165">
        <v>0.25069999999999998</v>
      </c>
      <c r="R93" s="393">
        <f t="shared" si="10"/>
        <v>0</v>
      </c>
      <c r="S93" s="393">
        <f t="shared" si="11"/>
        <v>1.0027999999999999</v>
      </c>
      <c r="T93" s="393">
        <f t="shared" si="12"/>
        <v>0</v>
      </c>
      <c r="U93" s="415">
        <f t="shared" si="13"/>
        <v>0</v>
      </c>
      <c r="V93" s="119"/>
      <c r="W93" s="120"/>
      <c r="X93" s="120"/>
      <c r="AE93" s="124" t="b">
        <f t="shared" si="7"/>
        <v>0</v>
      </c>
      <c r="AF93" s="124" t="b">
        <f t="shared" si="8"/>
        <v>1</v>
      </c>
      <c r="AH93" s="124">
        <v>84</v>
      </c>
      <c r="AJ93" s="124">
        <f t="array" ref="AJ93">IFERROR(INDEX($AH$10:$AH$258, MATCH(0, IF(TRUE=$AE$10:$AE$258, COUNTIF($AJ$9:$AJ92, $AH$10:$AH$258), ""), 0)),"")</f>
        <v>100</v>
      </c>
      <c r="AK93" s="124" t="str">
        <f t="array" ref="AK93">IFERROR(INDEX($AH$10:$AH$258, MATCH(0, IF(TRUE=$AF$10:$AF$258, COUNTIF($AK$9:$AK92, $AH$10:$AH$258), ""), 0)),"")</f>
        <v/>
      </c>
      <c r="AL93" s="30" t="str">
        <f>IFERROR(INDEX('G-6 Hedgerow Data'!$BJ$3:$BJ$15,MATCH(D93,'G-6 Hedgerow Data'!$B$3:$B$15,0)),"")</f>
        <v>Hedgecond1</v>
      </c>
    </row>
    <row r="94" spans="2:38" ht="42.75" x14ac:dyDescent="0.2">
      <c r="B94" s="110">
        <v>85</v>
      </c>
      <c r="C94" s="165" t="s">
        <v>1771</v>
      </c>
      <c r="D94" s="165" t="s">
        <v>176</v>
      </c>
      <c r="E94" s="121">
        <v>0.42</v>
      </c>
      <c r="F94" s="411" t="str">
        <f>IF(D94="","",VLOOKUP(D94,'G-6 Hedgerow Data'!$B$2:$AG$15,2,FALSE))</f>
        <v>Low</v>
      </c>
      <c r="G94" s="363">
        <f>IF(D94="","",VLOOKUP(D94,'G-6 Hedgerow Data'!$B$2:$AG$15,3,FALSE))</f>
        <v>2</v>
      </c>
      <c r="H94" s="114" t="s">
        <v>67</v>
      </c>
      <c r="I94" s="363">
        <f>IFERROR(VLOOKUP(H94,'G-1 All Habitats'!$Z$2:$AA$9,2,FALSE),"")</f>
        <v>2</v>
      </c>
      <c r="J94" s="114" t="s">
        <v>1037</v>
      </c>
      <c r="K94" s="370" t="str">
        <f>IF(J94="","",IF(VLOOKUP(J94,'G-3 Multipliers'!$L$3:$N$6,2,FALSE)=0,"Spatial Data Missing",VLOOKUP(J94,'G-3 Multipliers'!$L$3:$N$6,2,FALSE)))</f>
        <v>Low Strategic Significance</v>
      </c>
      <c r="L94" s="368">
        <f>IF(J94="","",IF(VLOOKUP(J94,'G-3 Multipliers'!$L$3:$N$6,3,FALSE)=0,"Spatial Data Missing ⚠",VLOOKUP(J94,'G-3 Multipliers'!$L$3:$N$6,3,FALSE)))</f>
        <v>1</v>
      </c>
      <c r="M94" s="369" t="str">
        <f>IF(D94="","",VLOOKUP(D94,'G-6 Hedgerow Data'!$B$1:$AH$15,33,FALSE))</f>
        <v>Same distinctiveness band or better</v>
      </c>
      <c r="N94" s="376">
        <f t="shared" si="9"/>
        <v>1.68</v>
      </c>
      <c r="O94" s="32"/>
      <c r="P94" s="122">
        <v>0.42</v>
      </c>
      <c r="Q94" s="165">
        <v>0</v>
      </c>
      <c r="R94" s="393">
        <f t="shared" si="10"/>
        <v>1.68</v>
      </c>
      <c r="S94" s="393">
        <f t="shared" si="11"/>
        <v>0</v>
      </c>
      <c r="T94" s="393">
        <f t="shared" si="12"/>
        <v>0</v>
      </c>
      <c r="U94" s="415">
        <f t="shared" si="13"/>
        <v>0</v>
      </c>
      <c r="V94" s="119"/>
      <c r="W94" s="120"/>
      <c r="X94" s="120"/>
      <c r="AE94" s="124" t="b">
        <f t="shared" si="7"/>
        <v>1</v>
      </c>
      <c r="AF94" s="124" t="b">
        <f t="shared" si="8"/>
        <v>0</v>
      </c>
      <c r="AH94" s="124">
        <v>85</v>
      </c>
      <c r="AJ94" s="124">
        <f t="array" ref="AJ94">IFERROR(INDEX($AH$10:$AH$258, MATCH(0, IF(TRUE=$AE$10:$AE$258, COUNTIF($AJ$9:$AJ93, $AH$10:$AH$258), ""), 0)),"")</f>
        <v>101</v>
      </c>
      <c r="AK94" s="124" t="str">
        <f t="array" ref="AK94">IFERROR(INDEX($AH$10:$AH$258, MATCH(0, IF(TRUE=$AF$10:$AF$258, COUNTIF($AK$9:$AK93, $AH$10:$AH$258), ""), 0)),"")</f>
        <v/>
      </c>
      <c r="AL94" s="30" t="str">
        <f>IFERROR(INDEX('G-6 Hedgerow Data'!$BJ$3:$BJ$15,MATCH(D94,'G-6 Hedgerow Data'!$B$3:$B$15,0)),"")</f>
        <v>Hedgecond1</v>
      </c>
    </row>
    <row r="95" spans="2:38" ht="42.75" x14ac:dyDescent="0.2">
      <c r="B95" s="110">
        <v>86</v>
      </c>
      <c r="C95" s="165" t="s">
        <v>1772</v>
      </c>
      <c r="D95" s="165" t="s">
        <v>176</v>
      </c>
      <c r="E95" s="121">
        <v>7.5800000000000006E-2</v>
      </c>
      <c r="F95" s="411" t="str">
        <f>IF(D95="","",VLOOKUP(D95,'G-6 Hedgerow Data'!$B$2:$AG$15,2,FALSE))</f>
        <v>Low</v>
      </c>
      <c r="G95" s="363">
        <f>IF(D95="","",VLOOKUP(D95,'G-6 Hedgerow Data'!$B$2:$AG$15,3,FALSE))</f>
        <v>2</v>
      </c>
      <c r="H95" s="114" t="s">
        <v>67</v>
      </c>
      <c r="I95" s="363">
        <f>IFERROR(VLOOKUP(H95,'G-1 All Habitats'!$Z$2:$AA$9,2,FALSE),"")</f>
        <v>2</v>
      </c>
      <c r="J95" s="114" t="s">
        <v>1037</v>
      </c>
      <c r="K95" s="370" t="str">
        <f>IF(J95="","",IF(VLOOKUP(J95,'G-3 Multipliers'!$L$3:$N$6,2,FALSE)=0,"Spatial Data Missing",VLOOKUP(J95,'G-3 Multipliers'!$L$3:$N$6,2,FALSE)))</f>
        <v>Low Strategic Significance</v>
      </c>
      <c r="L95" s="368">
        <f>IF(J95="","",IF(VLOOKUP(J95,'G-3 Multipliers'!$L$3:$N$6,3,FALSE)=0,"Spatial Data Missing ⚠",VLOOKUP(J95,'G-3 Multipliers'!$L$3:$N$6,3,FALSE)))</f>
        <v>1</v>
      </c>
      <c r="M95" s="369" t="str">
        <f>IF(D95="","",VLOOKUP(D95,'G-6 Hedgerow Data'!$B$1:$AH$15,33,FALSE))</f>
        <v>Same distinctiveness band or better</v>
      </c>
      <c r="N95" s="376">
        <f t="shared" si="9"/>
        <v>0.30320000000000003</v>
      </c>
      <c r="O95" s="32"/>
      <c r="P95" s="122">
        <v>7.0800000000000002E-2</v>
      </c>
      <c r="Q95" s="165">
        <v>0</v>
      </c>
      <c r="R95" s="393">
        <f t="shared" si="10"/>
        <v>0.28320000000000001</v>
      </c>
      <c r="S95" s="393">
        <f t="shared" si="11"/>
        <v>0</v>
      </c>
      <c r="T95" s="393">
        <f t="shared" si="12"/>
        <v>5.0000000000000044E-3</v>
      </c>
      <c r="U95" s="415">
        <f t="shared" si="13"/>
        <v>2.0000000000000018E-2</v>
      </c>
      <c r="V95" s="119" t="s">
        <v>1950</v>
      </c>
      <c r="W95" s="120"/>
      <c r="X95" s="120"/>
      <c r="AE95" s="124" t="b">
        <f t="shared" si="7"/>
        <v>1</v>
      </c>
      <c r="AF95" s="124" t="b">
        <f t="shared" si="8"/>
        <v>0</v>
      </c>
      <c r="AH95" s="124">
        <v>86</v>
      </c>
      <c r="AJ95" s="124">
        <f t="array" ref="AJ95">IFERROR(INDEX($AH$10:$AH$258, MATCH(0, IF(TRUE=$AE$10:$AE$258, COUNTIF($AJ$9:$AJ94, $AH$10:$AH$258), ""), 0)),"")</f>
        <v>102</v>
      </c>
      <c r="AK95" s="124" t="str">
        <f t="array" ref="AK95">IFERROR(INDEX($AH$10:$AH$258, MATCH(0, IF(TRUE=$AF$10:$AF$258, COUNTIF($AK$9:$AK94, $AH$10:$AH$258), ""), 0)),"")</f>
        <v/>
      </c>
      <c r="AL95" s="30" t="str">
        <f>IFERROR(INDEX('G-6 Hedgerow Data'!$BJ$3:$BJ$15,MATCH(D95,'G-6 Hedgerow Data'!$B$3:$B$15,0)),"")</f>
        <v>Hedgecond1</v>
      </c>
    </row>
    <row r="96" spans="2:38" ht="42.75" x14ac:dyDescent="0.2">
      <c r="B96" s="110">
        <v>87</v>
      </c>
      <c r="C96" s="165" t="s">
        <v>1773</v>
      </c>
      <c r="D96" s="165" t="s">
        <v>176</v>
      </c>
      <c r="E96" s="121">
        <v>0.35420000000000001</v>
      </c>
      <c r="F96" s="411" t="str">
        <f>IF(D96="","",VLOOKUP(D96,'G-6 Hedgerow Data'!$B$2:$AG$15,2,FALSE))</f>
        <v>Low</v>
      </c>
      <c r="G96" s="363">
        <f>IF(D96="","",VLOOKUP(D96,'G-6 Hedgerow Data'!$B$2:$AG$15,3,FALSE))</f>
        <v>2</v>
      </c>
      <c r="H96" s="114" t="s">
        <v>67</v>
      </c>
      <c r="I96" s="363">
        <f>IFERROR(VLOOKUP(H96,'G-1 All Habitats'!$Z$2:$AA$9,2,FALSE),"")</f>
        <v>2</v>
      </c>
      <c r="J96" s="114" t="s">
        <v>1037</v>
      </c>
      <c r="K96" s="370" t="str">
        <f>IF(J96="","",IF(VLOOKUP(J96,'G-3 Multipliers'!$L$3:$N$6,2,FALSE)=0,"Spatial Data Missing",VLOOKUP(J96,'G-3 Multipliers'!$L$3:$N$6,2,FALSE)))</f>
        <v>Low Strategic Significance</v>
      </c>
      <c r="L96" s="368">
        <f>IF(J96="","",IF(VLOOKUP(J96,'G-3 Multipliers'!$L$3:$N$6,3,FALSE)=0,"Spatial Data Missing ⚠",VLOOKUP(J96,'G-3 Multipliers'!$L$3:$N$6,3,FALSE)))</f>
        <v>1</v>
      </c>
      <c r="M96" s="369" t="str">
        <f>IF(D96="","",VLOOKUP(D96,'G-6 Hedgerow Data'!$B$1:$AH$15,33,FALSE))</f>
        <v>Same distinctiveness band or better</v>
      </c>
      <c r="N96" s="376">
        <f t="shared" si="9"/>
        <v>1.4168000000000001</v>
      </c>
      <c r="O96" s="32"/>
      <c r="P96" s="122">
        <v>2.8E-3</v>
      </c>
      <c r="Q96" s="165">
        <v>0.3513</v>
      </c>
      <c r="R96" s="393">
        <f t="shared" si="10"/>
        <v>1.12E-2</v>
      </c>
      <c r="S96" s="393">
        <f t="shared" si="11"/>
        <v>1.4052</v>
      </c>
      <c r="T96" s="393">
        <f t="shared" si="12"/>
        <v>9.9999999999988987E-5</v>
      </c>
      <c r="U96" s="415">
        <f t="shared" si="13"/>
        <v>3.9999999999995595E-4</v>
      </c>
      <c r="V96" s="119"/>
      <c r="W96" s="120"/>
      <c r="X96" s="120"/>
      <c r="AE96" s="124" t="b">
        <f t="shared" si="7"/>
        <v>1</v>
      </c>
      <c r="AF96" s="124" t="b">
        <f t="shared" si="8"/>
        <v>1</v>
      </c>
      <c r="AH96" s="124">
        <v>87</v>
      </c>
      <c r="AJ96" s="124">
        <f t="array" ref="AJ96">IFERROR(INDEX($AH$10:$AH$258, MATCH(0, IF(TRUE=$AE$10:$AE$258, COUNTIF($AJ$9:$AJ95, $AH$10:$AH$258), ""), 0)),"")</f>
        <v>103</v>
      </c>
      <c r="AK96" s="124" t="str">
        <f t="array" ref="AK96">IFERROR(INDEX($AH$10:$AH$258, MATCH(0, IF(TRUE=$AF$10:$AF$258, COUNTIF($AK$9:$AK95, $AH$10:$AH$258), ""), 0)),"")</f>
        <v/>
      </c>
      <c r="AL96" s="30" t="str">
        <f>IFERROR(INDEX('G-6 Hedgerow Data'!$BJ$3:$BJ$15,MATCH(D96,'G-6 Hedgerow Data'!$B$3:$B$15,0)),"")</f>
        <v>Hedgecond1</v>
      </c>
    </row>
    <row r="97" spans="2:38" ht="42.75" x14ac:dyDescent="0.2">
      <c r="B97" s="110">
        <v>88</v>
      </c>
      <c r="C97" s="165" t="s">
        <v>1774</v>
      </c>
      <c r="D97" s="165" t="s">
        <v>176</v>
      </c>
      <c r="E97" s="121">
        <v>6.5699999999999995E-2</v>
      </c>
      <c r="F97" s="411" t="str">
        <f>IF(D97="","",VLOOKUP(D97,'G-6 Hedgerow Data'!$B$2:$AG$15,2,FALSE))</f>
        <v>Low</v>
      </c>
      <c r="G97" s="363">
        <f>IF(D97="","",VLOOKUP(D97,'G-6 Hedgerow Data'!$B$2:$AG$15,3,FALSE))</f>
        <v>2</v>
      </c>
      <c r="H97" s="114" t="s">
        <v>329</v>
      </c>
      <c r="I97" s="363">
        <f>IFERROR(VLOOKUP(H97,'G-1 All Habitats'!$Z$2:$AA$9,2,FALSE),"")</f>
        <v>1</v>
      </c>
      <c r="J97" s="114" t="s">
        <v>1037</v>
      </c>
      <c r="K97" s="370" t="str">
        <f>IF(J97="","",IF(VLOOKUP(J97,'G-3 Multipliers'!$L$3:$N$6,2,FALSE)=0,"Spatial Data Missing",VLOOKUP(J97,'G-3 Multipliers'!$L$3:$N$6,2,FALSE)))</f>
        <v>Low Strategic Significance</v>
      </c>
      <c r="L97" s="368">
        <f>IF(J97="","",IF(VLOOKUP(J97,'G-3 Multipliers'!$L$3:$N$6,3,FALSE)=0,"Spatial Data Missing ⚠",VLOOKUP(J97,'G-3 Multipliers'!$L$3:$N$6,3,FALSE)))</f>
        <v>1</v>
      </c>
      <c r="M97" s="369" t="str">
        <f>IF(D97="","",VLOOKUP(D97,'G-6 Hedgerow Data'!$B$1:$AH$15,33,FALSE))</f>
        <v>Same distinctiveness band or better</v>
      </c>
      <c r="N97" s="376">
        <f t="shared" si="9"/>
        <v>0.13139999999999999</v>
      </c>
      <c r="O97" s="32"/>
      <c r="P97" s="122">
        <v>0</v>
      </c>
      <c r="Q97" s="165">
        <v>6.5699999999999995E-2</v>
      </c>
      <c r="R97" s="393">
        <f t="shared" si="10"/>
        <v>0</v>
      </c>
      <c r="S97" s="393">
        <f t="shared" si="11"/>
        <v>0.13139999999999999</v>
      </c>
      <c r="T97" s="393">
        <f t="shared" si="12"/>
        <v>0</v>
      </c>
      <c r="U97" s="415">
        <f t="shared" si="13"/>
        <v>0</v>
      </c>
      <c r="V97" s="119"/>
      <c r="W97" s="120"/>
      <c r="X97" s="120"/>
      <c r="AE97" s="124" t="b">
        <f t="shared" si="7"/>
        <v>0</v>
      </c>
      <c r="AF97" s="124" t="b">
        <f t="shared" si="8"/>
        <v>1</v>
      </c>
      <c r="AH97" s="124">
        <v>88</v>
      </c>
      <c r="AJ97" s="124">
        <f t="array" ref="AJ97">IFERROR(INDEX($AH$10:$AH$258, MATCH(0, IF(TRUE=$AE$10:$AE$258, COUNTIF($AJ$9:$AJ96, $AH$10:$AH$258), ""), 0)),"")</f>
        <v>104</v>
      </c>
      <c r="AK97" s="124" t="str">
        <f t="array" ref="AK97">IFERROR(INDEX($AH$10:$AH$258, MATCH(0, IF(TRUE=$AF$10:$AF$258, COUNTIF($AK$9:$AK96, $AH$10:$AH$258), ""), 0)),"")</f>
        <v/>
      </c>
      <c r="AL97" s="30" t="str">
        <f>IFERROR(INDEX('G-6 Hedgerow Data'!$BJ$3:$BJ$15,MATCH(D97,'G-6 Hedgerow Data'!$B$3:$B$15,0)),"")</f>
        <v>Hedgecond1</v>
      </c>
    </row>
    <row r="98" spans="2:38" ht="42.75" x14ac:dyDescent="0.2">
      <c r="B98" s="110">
        <v>89</v>
      </c>
      <c r="C98" s="165" t="s">
        <v>1775</v>
      </c>
      <c r="D98" s="165" t="s">
        <v>173</v>
      </c>
      <c r="E98" s="121">
        <v>4.5699999999999998E-2</v>
      </c>
      <c r="F98" s="411" t="str">
        <f>IF(D98="","",VLOOKUP(D98,'G-6 Hedgerow Data'!$B$2:$AG$15,2,FALSE))</f>
        <v>Medium</v>
      </c>
      <c r="G98" s="363">
        <f>IF(D98="","",VLOOKUP(D98,'G-6 Hedgerow Data'!$B$2:$AG$15,3,FALSE))</f>
        <v>4</v>
      </c>
      <c r="H98" s="114" t="s">
        <v>67</v>
      </c>
      <c r="I98" s="363">
        <f>IFERROR(VLOOKUP(H98,'G-1 All Habitats'!$Z$2:$AA$9,2,FALSE),"")</f>
        <v>2</v>
      </c>
      <c r="J98" s="114" t="s">
        <v>1037</v>
      </c>
      <c r="K98" s="370" t="str">
        <f>IF(J98="","",IF(VLOOKUP(J98,'G-3 Multipliers'!$L$3:$N$6,2,FALSE)=0,"Spatial Data Missing",VLOOKUP(J98,'G-3 Multipliers'!$L$3:$N$6,2,FALSE)))</f>
        <v>Low Strategic Significance</v>
      </c>
      <c r="L98" s="368">
        <f>IF(J98="","",IF(VLOOKUP(J98,'G-3 Multipliers'!$L$3:$N$6,3,FALSE)=0,"Spatial Data Missing ⚠",VLOOKUP(J98,'G-3 Multipliers'!$L$3:$N$6,3,FALSE)))</f>
        <v>1</v>
      </c>
      <c r="M98" s="369" t="str">
        <f>IF(D98="","",VLOOKUP(D98,'G-6 Hedgerow Data'!$B$1:$AH$15,33,FALSE))</f>
        <v>Same distinctiveness band or better</v>
      </c>
      <c r="N98" s="376">
        <f t="shared" si="9"/>
        <v>0.36559999999999998</v>
      </c>
      <c r="O98" s="32"/>
      <c r="P98" s="122">
        <v>4.5699999999999998E-2</v>
      </c>
      <c r="Q98" s="165">
        <v>0</v>
      </c>
      <c r="R98" s="393">
        <f t="shared" si="10"/>
        <v>0.36559999999999998</v>
      </c>
      <c r="S98" s="393">
        <f t="shared" si="11"/>
        <v>0</v>
      </c>
      <c r="T98" s="393">
        <f t="shared" si="12"/>
        <v>0</v>
      </c>
      <c r="U98" s="415">
        <f t="shared" si="13"/>
        <v>0</v>
      </c>
      <c r="V98" s="119"/>
      <c r="W98" s="120"/>
      <c r="X98" s="120"/>
      <c r="AE98" s="124" t="b">
        <f t="shared" si="7"/>
        <v>1</v>
      </c>
      <c r="AF98" s="124" t="b">
        <f t="shared" si="8"/>
        <v>0</v>
      </c>
      <c r="AH98" s="124">
        <v>89</v>
      </c>
      <c r="AJ98" s="124">
        <f t="array" ref="AJ98">IFERROR(INDEX($AH$10:$AH$258, MATCH(0, IF(TRUE=$AE$10:$AE$258, COUNTIF($AJ$9:$AJ97, $AH$10:$AH$258), ""), 0)),"")</f>
        <v>106</v>
      </c>
      <c r="AK98" s="124" t="str">
        <f t="array" ref="AK98">IFERROR(INDEX($AH$10:$AH$258, MATCH(0, IF(TRUE=$AF$10:$AF$258, COUNTIF($AK$9:$AK97, $AH$10:$AH$258), ""), 0)),"")</f>
        <v/>
      </c>
      <c r="AL98" s="30" t="str">
        <f>IFERROR(INDEX('G-6 Hedgerow Data'!$BJ$3:$BJ$15,MATCH(D98,'G-6 Hedgerow Data'!$B$3:$B$15,0)),"")</f>
        <v>Hedgecond1</v>
      </c>
    </row>
    <row r="99" spans="2:38" ht="42.75" x14ac:dyDescent="0.2">
      <c r="B99" s="110">
        <v>90</v>
      </c>
      <c r="C99" s="165" t="s">
        <v>1776</v>
      </c>
      <c r="D99" s="165" t="s">
        <v>176</v>
      </c>
      <c r="E99" s="121">
        <v>0.14149999999999999</v>
      </c>
      <c r="F99" s="411" t="str">
        <f>IF(D99="","",VLOOKUP(D99,'G-6 Hedgerow Data'!$B$2:$AG$15,2,FALSE))</f>
        <v>Low</v>
      </c>
      <c r="G99" s="363">
        <f>IF(D99="","",VLOOKUP(D99,'G-6 Hedgerow Data'!$B$2:$AG$15,3,FALSE))</f>
        <v>2</v>
      </c>
      <c r="H99" s="114" t="s">
        <v>329</v>
      </c>
      <c r="I99" s="363">
        <f>IFERROR(VLOOKUP(H99,'G-1 All Habitats'!$Z$2:$AA$9,2,FALSE),"")</f>
        <v>1</v>
      </c>
      <c r="J99" s="114" t="s">
        <v>1037</v>
      </c>
      <c r="K99" s="370" t="str">
        <f>IF(J99="","",IF(VLOOKUP(J99,'G-3 Multipliers'!$L$3:$N$6,2,FALSE)=0,"Spatial Data Missing",VLOOKUP(J99,'G-3 Multipliers'!$L$3:$N$6,2,FALSE)))</f>
        <v>Low Strategic Significance</v>
      </c>
      <c r="L99" s="368">
        <f>IF(J99="","",IF(VLOOKUP(J99,'G-3 Multipliers'!$L$3:$N$6,3,FALSE)=0,"Spatial Data Missing ⚠",VLOOKUP(J99,'G-3 Multipliers'!$L$3:$N$6,3,FALSE)))</f>
        <v>1</v>
      </c>
      <c r="M99" s="369" t="str">
        <f>IF(D99="","",VLOOKUP(D99,'G-6 Hedgerow Data'!$B$1:$AH$15,33,FALSE))</f>
        <v>Same distinctiveness band or better</v>
      </c>
      <c r="N99" s="376">
        <f t="shared" si="9"/>
        <v>0.28299999999999997</v>
      </c>
      <c r="O99" s="32"/>
      <c r="P99" s="122">
        <v>0.14149999999999999</v>
      </c>
      <c r="Q99" s="165">
        <v>0</v>
      </c>
      <c r="R99" s="393">
        <f t="shared" si="10"/>
        <v>0.28299999999999997</v>
      </c>
      <c r="S99" s="393">
        <f t="shared" si="11"/>
        <v>0</v>
      </c>
      <c r="T99" s="393">
        <f t="shared" si="12"/>
        <v>0</v>
      </c>
      <c r="U99" s="415">
        <f t="shared" si="13"/>
        <v>0</v>
      </c>
      <c r="V99" s="119"/>
      <c r="W99" s="120"/>
      <c r="X99" s="120"/>
      <c r="AE99" s="124" t="b">
        <f t="shared" si="7"/>
        <v>1</v>
      </c>
      <c r="AF99" s="124" t="b">
        <f t="shared" si="8"/>
        <v>0</v>
      </c>
      <c r="AH99" s="124">
        <v>90</v>
      </c>
      <c r="AJ99" s="124">
        <f t="array" ref="AJ99">IFERROR(INDEX($AH$10:$AH$258, MATCH(0, IF(TRUE=$AE$10:$AE$258, COUNTIF($AJ$9:$AJ98, $AH$10:$AH$258), ""), 0)),"")</f>
        <v>107</v>
      </c>
      <c r="AK99" s="124" t="str">
        <f t="array" ref="AK99">IFERROR(INDEX($AH$10:$AH$258, MATCH(0, IF(TRUE=$AF$10:$AF$258, COUNTIF($AK$9:$AK98, $AH$10:$AH$258), ""), 0)),"")</f>
        <v/>
      </c>
      <c r="AL99" s="30" t="str">
        <f>IFERROR(INDEX('G-6 Hedgerow Data'!$BJ$3:$BJ$15,MATCH(D99,'G-6 Hedgerow Data'!$B$3:$B$15,0)),"")</f>
        <v>Hedgecond1</v>
      </c>
    </row>
    <row r="100" spans="2:38" ht="42.75" x14ac:dyDescent="0.2">
      <c r="B100" s="110">
        <v>91</v>
      </c>
      <c r="C100" s="165" t="s">
        <v>1777</v>
      </c>
      <c r="D100" s="165" t="s">
        <v>176</v>
      </c>
      <c r="E100" s="121">
        <v>0.19670000000000001</v>
      </c>
      <c r="F100" s="411" t="str">
        <f>IF(D100="","",VLOOKUP(D100,'G-6 Hedgerow Data'!$B$2:$AG$15,2,FALSE))</f>
        <v>Low</v>
      </c>
      <c r="G100" s="363">
        <f>IF(D100="","",VLOOKUP(D100,'G-6 Hedgerow Data'!$B$2:$AG$15,3,FALSE))</f>
        <v>2</v>
      </c>
      <c r="H100" s="114" t="s">
        <v>329</v>
      </c>
      <c r="I100" s="363">
        <f>IFERROR(VLOOKUP(H100,'G-1 All Habitats'!$Z$2:$AA$9,2,FALSE),"")</f>
        <v>1</v>
      </c>
      <c r="J100" s="114" t="s">
        <v>1037</v>
      </c>
      <c r="K100" s="370" t="str">
        <f>IF(J100="","",IF(VLOOKUP(J100,'G-3 Multipliers'!$L$3:$N$6,2,FALSE)=0,"Spatial Data Missing",VLOOKUP(J100,'G-3 Multipliers'!$L$3:$N$6,2,FALSE)))</f>
        <v>Low Strategic Significance</v>
      </c>
      <c r="L100" s="368">
        <f>IF(J100="","",IF(VLOOKUP(J100,'G-3 Multipliers'!$L$3:$N$6,3,FALSE)=0,"Spatial Data Missing ⚠",VLOOKUP(J100,'G-3 Multipliers'!$L$3:$N$6,3,FALSE)))</f>
        <v>1</v>
      </c>
      <c r="M100" s="369" t="str">
        <f>IF(D100="","",VLOOKUP(D100,'G-6 Hedgerow Data'!$B$1:$AH$15,33,FALSE))</f>
        <v>Same distinctiveness band or better</v>
      </c>
      <c r="N100" s="376">
        <f t="shared" si="9"/>
        <v>0.39340000000000003</v>
      </c>
      <c r="O100" s="32"/>
      <c r="P100" s="122">
        <v>0.19670000000000001</v>
      </c>
      <c r="Q100" s="165">
        <v>0</v>
      </c>
      <c r="R100" s="393">
        <f t="shared" si="10"/>
        <v>0.39340000000000003</v>
      </c>
      <c r="S100" s="393">
        <f t="shared" si="11"/>
        <v>0</v>
      </c>
      <c r="T100" s="393">
        <f t="shared" si="12"/>
        <v>0</v>
      </c>
      <c r="U100" s="415">
        <f t="shared" si="13"/>
        <v>0</v>
      </c>
      <c r="V100" s="119"/>
      <c r="W100" s="120"/>
      <c r="X100" s="120"/>
      <c r="AE100" s="124" t="b">
        <f t="shared" si="7"/>
        <v>1</v>
      </c>
      <c r="AF100" s="124" t="b">
        <f t="shared" si="8"/>
        <v>0</v>
      </c>
      <c r="AH100" s="124">
        <v>91</v>
      </c>
      <c r="AJ100" s="124">
        <f t="array" ref="AJ100">IFERROR(INDEX($AH$10:$AH$258, MATCH(0, IF(TRUE=$AE$10:$AE$258, COUNTIF($AJ$9:$AJ99, $AH$10:$AH$258), ""), 0)),"")</f>
        <v>109</v>
      </c>
      <c r="AK100" s="124" t="str">
        <f t="array" ref="AK100">IFERROR(INDEX($AH$10:$AH$258, MATCH(0, IF(TRUE=$AF$10:$AF$258, COUNTIF($AK$9:$AK99, $AH$10:$AH$258), ""), 0)),"")</f>
        <v/>
      </c>
      <c r="AL100" s="30" t="str">
        <f>IFERROR(INDEX('G-6 Hedgerow Data'!$BJ$3:$BJ$15,MATCH(D100,'G-6 Hedgerow Data'!$B$3:$B$15,0)),"")</f>
        <v>Hedgecond1</v>
      </c>
    </row>
    <row r="101" spans="2:38" ht="28.5" x14ac:dyDescent="0.2">
      <c r="B101" s="110">
        <v>92</v>
      </c>
      <c r="C101" s="165" t="s">
        <v>1778</v>
      </c>
      <c r="D101" s="165" t="s">
        <v>168</v>
      </c>
      <c r="E101" s="121">
        <v>0.15079999999999999</v>
      </c>
      <c r="F101" s="411" t="str">
        <f>IF(D101="","",VLOOKUP(D101,'G-6 Hedgerow Data'!$B$2:$AG$15,2,FALSE))</f>
        <v>High</v>
      </c>
      <c r="G101" s="363">
        <f>IF(D101="","",VLOOKUP(D101,'G-6 Hedgerow Data'!$B$2:$AG$15,3,FALSE))</f>
        <v>6</v>
      </c>
      <c r="H101" s="114" t="s">
        <v>67</v>
      </c>
      <c r="I101" s="363">
        <f>IFERROR(VLOOKUP(H101,'G-1 All Habitats'!$Z$2:$AA$9,2,FALSE),"")</f>
        <v>2</v>
      </c>
      <c r="J101" s="114" t="s">
        <v>1037</v>
      </c>
      <c r="K101" s="370" t="str">
        <f>IF(J101="","",IF(VLOOKUP(J101,'G-3 Multipliers'!$L$3:$N$6,2,FALSE)=0,"Spatial Data Missing",VLOOKUP(J101,'G-3 Multipliers'!$L$3:$N$6,2,FALSE)))</f>
        <v>Low Strategic Significance</v>
      </c>
      <c r="L101" s="368">
        <f>IF(J101="","",IF(VLOOKUP(J101,'G-3 Multipliers'!$L$3:$N$6,3,FALSE)=0,"Spatial Data Missing ⚠",VLOOKUP(J101,'G-3 Multipliers'!$L$3:$N$6,3,FALSE)))</f>
        <v>1</v>
      </c>
      <c r="M101" s="369" t="str">
        <f>IF(D101="","",VLOOKUP(D101,'G-6 Hedgerow Data'!$B$1:$AH$15,33,FALSE))</f>
        <v>Like for like or better</v>
      </c>
      <c r="N101" s="376">
        <f t="shared" si="9"/>
        <v>1.8095999999999999</v>
      </c>
      <c r="O101" s="32"/>
      <c r="P101" s="122">
        <v>0.15079999999999999</v>
      </c>
      <c r="Q101" s="165">
        <v>0</v>
      </c>
      <c r="R101" s="393">
        <f t="shared" si="10"/>
        <v>1.8095999999999999</v>
      </c>
      <c r="S101" s="393">
        <f t="shared" si="11"/>
        <v>0</v>
      </c>
      <c r="T101" s="393">
        <f t="shared" si="12"/>
        <v>0</v>
      </c>
      <c r="U101" s="415">
        <f t="shared" si="13"/>
        <v>0</v>
      </c>
      <c r="V101" s="119"/>
      <c r="W101" s="120"/>
      <c r="X101" s="120"/>
      <c r="AE101" s="124" t="b">
        <f t="shared" si="7"/>
        <v>1</v>
      </c>
      <c r="AF101" s="124" t="b">
        <f t="shared" si="8"/>
        <v>0</v>
      </c>
      <c r="AH101" s="124">
        <v>92</v>
      </c>
      <c r="AJ101" s="124">
        <f t="array" ref="AJ101">IFERROR(INDEX($AH$10:$AH$258, MATCH(0, IF(TRUE=$AE$10:$AE$258, COUNTIF($AJ$9:$AJ100, $AH$10:$AH$258), ""), 0)),"")</f>
        <v>112</v>
      </c>
      <c r="AK101" s="124" t="str">
        <f t="array" ref="AK101">IFERROR(INDEX($AH$10:$AH$258, MATCH(0, IF(TRUE=$AF$10:$AF$258, COUNTIF($AK$9:$AK100, $AH$10:$AH$258), ""), 0)),"")</f>
        <v/>
      </c>
      <c r="AL101" s="30" t="str">
        <f>IFERROR(INDEX('G-6 Hedgerow Data'!$BJ$3:$BJ$15,MATCH(D101,'G-6 Hedgerow Data'!$B$3:$B$15,0)),"")</f>
        <v>Hedgecond1</v>
      </c>
    </row>
    <row r="102" spans="2:38" ht="28.5" x14ac:dyDescent="0.2">
      <c r="B102" s="110">
        <v>93</v>
      </c>
      <c r="C102" s="165" t="s">
        <v>1779</v>
      </c>
      <c r="D102" s="165" t="s">
        <v>168</v>
      </c>
      <c r="E102" s="121">
        <v>0.2606</v>
      </c>
      <c r="F102" s="411" t="str">
        <f>IF(D102="","",VLOOKUP(D102,'G-6 Hedgerow Data'!$B$2:$AG$15,2,FALSE))</f>
        <v>High</v>
      </c>
      <c r="G102" s="363">
        <f>IF(D102="","",VLOOKUP(D102,'G-6 Hedgerow Data'!$B$2:$AG$15,3,FALSE))</f>
        <v>6</v>
      </c>
      <c r="H102" s="114" t="s">
        <v>67</v>
      </c>
      <c r="I102" s="363">
        <f>IFERROR(VLOOKUP(H102,'G-1 All Habitats'!$Z$2:$AA$9,2,FALSE),"")</f>
        <v>2</v>
      </c>
      <c r="J102" s="114" t="s">
        <v>1029</v>
      </c>
      <c r="K102" s="370" t="str">
        <f>IF(J102="","",IF(VLOOKUP(J102,'G-3 Multipliers'!$L$3:$N$6,2,FALSE)=0,"Spatial Data Missing",VLOOKUP(J102,'G-3 Multipliers'!$L$3:$N$6,2,FALSE)))</f>
        <v xml:space="preserve">High strategic significance </v>
      </c>
      <c r="L102" s="368">
        <f>IF(J102="","",IF(VLOOKUP(J102,'G-3 Multipliers'!$L$3:$N$6,3,FALSE)=0,"Spatial Data Missing ⚠",VLOOKUP(J102,'G-3 Multipliers'!$L$3:$N$6,3,FALSE)))</f>
        <v>1.1499999999999999</v>
      </c>
      <c r="M102" s="369" t="str">
        <f>IF(D102="","",VLOOKUP(D102,'G-6 Hedgerow Data'!$B$1:$AH$15,33,FALSE))</f>
        <v>Like for like or better</v>
      </c>
      <c r="N102" s="376">
        <f t="shared" si="9"/>
        <v>3.5962800000000001</v>
      </c>
      <c r="O102" s="32"/>
      <c r="P102" s="122">
        <v>0.2606</v>
      </c>
      <c r="Q102" s="165">
        <v>0</v>
      </c>
      <c r="R102" s="393">
        <f t="shared" si="10"/>
        <v>3.5962800000000001</v>
      </c>
      <c r="S102" s="393">
        <f t="shared" si="11"/>
        <v>0</v>
      </c>
      <c r="T102" s="393">
        <f t="shared" si="12"/>
        <v>0</v>
      </c>
      <c r="U102" s="415">
        <f t="shared" si="13"/>
        <v>0</v>
      </c>
      <c r="V102" s="119"/>
      <c r="W102" s="120"/>
      <c r="X102" s="120"/>
      <c r="AE102" s="124" t="b">
        <f t="shared" si="7"/>
        <v>1</v>
      </c>
      <c r="AF102" s="124" t="b">
        <f t="shared" si="8"/>
        <v>0</v>
      </c>
      <c r="AH102" s="124">
        <v>93</v>
      </c>
      <c r="AJ102" s="124">
        <f t="array" ref="AJ102">IFERROR(INDEX($AH$10:$AH$258, MATCH(0, IF(TRUE=$AE$10:$AE$258, COUNTIF($AJ$9:$AJ101, $AH$10:$AH$258), ""), 0)),"")</f>
        <v>113</v>
      </c>
      <c r="AK102" s="124" t="str">
        <f t="array" ref="AK102">IFERROR(INDEX($AH$10:$AH$258, MATCH(0, IF(TRUE=$AF$10:$AF$258, COUNTIF($AK$9:$AK101, $AH$10:$AH$258), ""), 0)),"")</f>
        <v/>
      </c>
      <c r="AL102" s="30" t="str">
        <f>IFERROR(INDEX('G-6 Hedgerow Data'!$BJ$3:$BJ$15,MATCH(D102,'G-6 Hedgerow Data'!$B$3:$B$15,0)),"")</f>
        <v>Hedgecond1</v>
      </c>
    </row>
    <row r="103" spans="2:38" ht="42.75" x14ac:dyDescent="0.2">
      <c r="B103" s="110">
        <v>94</v>
      </c>
      <c r="C103" s="165" t="s">
        <v>1780</v>
      </c>
      <c r="D103" s="165" t="s">
        <v>176</v>
      </c>
      <c r="E103" s="121">
        <v>0.27750000000000002</v>
      </c>
      <c r="F103" s="411" t="str">
        <f>IF(D103="","",VLOOKUP(D103,'G-6 Hedgerow Data'!$B$2:$AG$15,2,FALSE))</f>
        <v>Low</v>
      </c>
      <c r="G103" s="363">
        <f>IF(D103="","",VLOOKUP(D103,'G-6 Hedgerow Data'!$B$2:$AG$15,3,FALSE))</f>
        <v>2</v>
      </c>
      <c r="H103" s="114" t="s">
        <v>329</v>
      </c>
      <c r="I103" s="363">
        <f>IFERROR(VLOOKUP(H103,'G-1 All Habitats'!$Z$2:$AA$9,2,FALSE),"")</f>
        <v>1</v>
      </c>
      <c r="J103" s="114" t="s">
        <v>1037</v>
      </c>
      <c r="K103" s="370" t="str">
        <f>IF(J103="","",IF(VLOOKUP(J103,'G-3 Multipliers'!$L$3:$N$6,2,FALSE)=0,"Spatial Data Missing",VLOOKUP(J103,'G-3 Multipliers'!$L$3:$N$6,2,FALSE)))</f>
        <v>Low Strategic Significance</v>
      </c>
      <c r="L103" s="368">
        <f>IF(J103="","",IF(VLOOKUP(J103,'G-3 Multipliers'!$L$3:$N$6,3,FALSE)=0,"Spatial Data Missing ⚠",VLOOKUP(J103,'G-3 Multipliers'!$L$3:$N$6,3,FALSE)))</f>
        <v>1</v>
      </c>
      <c r="M103" s="369" t="str">
        <f>IF(D103="","",VLOOKUP(D103,'G-6 Hedgerow Data'!$B$1:$AH$15,33,FALSE))</f>
        <v>Same distinctiveness band or better</v>
      </c>
      <c r="N103" s="376">
        <f t="shared" si="9"/>
        <v>0.55500000000000005</v>
      </c>
      <c r="O103" s="32"/>
      <c r="P103" s="122">
        <v>0.27750000000000002</v>
      </c>
      <c r="Q103" s="165">
        <v>0</v>
      </c>
      <c r="R103" s="393">
        <f t="shared" si="10"/>
        <v>0.55500000000000005</v>
      </c>
      <c r="S103" s="393">
        <f t="shared" si="11"/>
        <v>0</v>
      </c>
      <c r="T103" s="393">
        <f t="shared" si="12"/>
        <v>0</v>
      </c>
      <c r="U103" s="415">
        <f t="shared" si="13"/>
        <v>0</v>
      </c>
      <c r="V103" s="119"/>
      <c r="W103" s="120"/>
      <c r="X103" s="120"/>
      <c r="AE103" s="124" t="b">
        <f t="shared" si="7"/>
        <v>1</v>
      </c>
      <c r="AF103" s="124" t="b">
        <f t="shared" si="8"/>
        <v>0</v>
      </c>
      <c r="AH103" s="124">
        <v>94</v>
      </c>
      <c r="AJ103" s="124">
        <f t="array" ref="AJ103">IFERROR(INDEX($AH$10:$AH$258, MATCH(0, IF(TRUE=$AE$10:$AE$258, COUNTIF($AJ$9:$AJ102, $AH$10:$AH$258), ""), 0)),"")</f>
        <v>114</v>
      </c>
      <c r="AK103" s="124" t="str">
        <f t="array" ref="AK103">IFERROR(INDEX($AH$10:$AH$258, MATCH(0, IF(TRUE=$AF$10:$AF$258, COUNTIF($AK$9:$AK102, $AH$10:$AH$258), ""), 0)),"")</f>
        <v/>
      </c>
      <c r="AL103" s="30" t="str">
        <f>IFERROR(INDEX('G-6 Hedgerow Data'!$BJ$3:$BJ$15,MATCH(D103,'G-6 Hedgerow Data'!$B$3:$B$15,0)),"")</f>
        <v>Hedgecond1</v>
      </c>
    </row>
    <row r="104" spans="2:38" ht="42.75" x14ac:dyDescent="0.2">
      <c r="B104" s="110">
        <v>95</v>
      </c>
      <c r="C104" s="165" t="s">
        <v>1781</v>
      </c>
      <c r="D104" s="165" t="s">
        <v>176</v>
      </c>
      <c r="E104" s="121">
        <v>0.21240000000000001</v>
      </c>
      <c r="F104" s="411" t="str">
        <f>IF(D104="","",VLOOKUP(D104,'G-6 Hedgerow Data'!$B$2:$AG$15,2,FALSE))</f>
        <v>Low</v>
      </c>
      <c r="G104" s="363">
        <f>IF(D104="","",VLOOKUP(D104,'G-6 Hedgerow Data'!$B$2:$AG$15,3,FALSE))</f>
        <v>2</v>
      </c>
      <c r="H104" s="114" t="s">
        <v>329</v>
      </c>
      <c r="I104" s="363">
        <f>IFERROR(VLOOKUP(H104,'G-1 All Habitats'!$Z$2:$AA$9,2,FALSE),"")</f>
        <v>1</v>
      </c>
      <c r="J104" s="114" t="s">
        <v>1037</v>
      </c>
      <c r="K104" s="370" t="str">
        <f>IF(J104="","",IF(VLOOKUP(J104,'G-3 Multipliers'!$L$3:$N$6,2,FALSE)=0,"Spatial Data Missing",VLOOKUP(J104,'G-3 Multipliers'!$L$3:$N$6,2,FALSE)))</f>
        <v>Low Strategic Significance</v>
      </c>
      <c r="L104" s="368">
        <f>IF(J104="","",IF(VLOOKUP(J104,'G-3 Multipliers'!$L$3:$N$6,3,FALSE)=0,"Spatial Data Missing ⚠",VLOOKUP(J104,'G-3 Multipliers'!$L$3:$N$6,3,FALSE)))</f>
        <v>1</v>
      </c>
      <c r="M104" s="369" t="str">
        <f>IF(D104="","",VLOOKUP(D104,'G-6 Hedgerow Data'!$B$1:$AH$15,33,FALSE))</f>
        <v>Same distinctiveness band or better</v>
      </c>
      <c r="N104" s="376">
        <f t="shared" si="9"/>
        <v>0.42480000000000001</v>
      </c>
      <c r="O104" s="32"/>
      <c r="P104" s="122">
        <v>0.21240000000000001</v>
      </c>
      <c r="Q104" s="165">
        <v>0</v>
      </c>
      <c r="R104" s="393">
        <f t="shared" si="10"/>
        <v>0.42480000000000001</v>
      </c>
      <c r="S104" s="393">
        <f t="shared" si="11"/>
        <v>0</v>
      </c>
      <c r="T104" s="393">
        <f t="shared" si="12"/>
        <v>0</v>
      </c>
      <c r="U104" s="415">
        <f t="shared" si="13"/>
        <v>0</v>
      </c>
      <c r="V104" s="119"/>
      <c r="W104" s="120"/>
      <c r="X104" s="120"/>
      <c r="AE104" s="124" t="b">
        <f t="shared" si="7"/>
        <v>1</v>
      </c>
      <c r="AF104" s="124" t="b">
        <f t="shared" si="8"/>
        <v>0</v>
      </c>
      <c r="AH104" s="124">
        <v>95</v>
      </c>
      <c r="AJ104" s="124">
        <f t="array" ref="AJ104">IFERROR(INDEX($AH$10:$AH$258, MATCH(0, IF(TRUE=$AE$10:$AE$258, COUNTIF($AJ$9:$AJ103, $AH$10:$AH$258), ""), 0)),"")</f>
        <v>116</v>
      </c>
      <c r="AK104" s="124" t="str">
        <f t="array" ref="AK104">IFERROR(INDEX($AH$10:$AH$258, MATCH(0, IF(TRUE=$AF$10:$AF$258, COUNTIF($AK$9:$AK103, $AH$10:$AH$258), ""), 0)),"")</f>
        <v/>
      </c>
      <c r="AL104" s="30" t="str">
        <f>IFERROR(INDEX('G-6 Hedgerow Data'!$BJ$3:$BJ$15,MATCH(D104,'G-6 Hedgerow Data'!$B$3:$B$15,0)),"")</f>
        <v>Hedgecond1</v>
      </c>
    </row>
    <row r="105" spans="2:38" ht="42.75" x14ac:dyDescent="0.2">
      <c r="B105" s="110">
        <v>96</v>
      </c>
      <c r="C105" s="165" t="s">
        <v>1782</v>
      </c>
      <c r="D105" s="165" t="s">
        <v>176</v>
      </c>
      <c r="E105" s="121">
        <v>0.1176</v>
      </c>
      <c r="F105" s="411" t="str">
        <f>IF(D105="","",VLOOKUP(D105,'G-6 Hedgerow Data'!$B$2:$AG$15,2,FALSE))</f>
        <v>Low</v>
      </c>
      <c r="G105" s="363">
        <f>IF(D105="","",VLOOKUP(D105,'G-6 Hedgerow Data'!$B$2:$AG$15,3,FALSE))</f>
        <v>2</v>
      </c>
      <c r="H105" s="114" t="s">
        <v>329</v>
      </c>
      <c r="I105" s="363">
        <f>IFERROR(VLOOKUP(H105,'G-1 All Habitats'!$Z$2:$AA$9,2,FALSE),"")</f>
        <v>1</v>
      </c>
      <c r="J105" s="114" t="s">
        <v>1029</v>
      </c>
      <c r="K105" s="370" t="str">
        <f>IF(J105="","",IF(VLOOKUP(J105,'G-3 Multipliers'!$L$3:$N$6,2,FALSE)=0,"Spatial Data Missing",VLOOKUP(J105,'G-3 Multipliers'!$L$3:$N$6,2,FALSE)))</f>
        <v xml:space="preserve">High strategic significance </v>
      </c>
      <c r="L105" s="368">
        <f>IF(J105="","",IF(VLOOKUP(J105,'G-3 Multipliers'!$L$3:$N$6,3,FALSE)=0,"Spatial Data Missing ⚠",VLOOKUP(J105,'G-3 Multipliers'!$L$3:$N$6,3,FALSE)))</f>
        <v>1.1499999999999999</v>
      </c>
      <c r="M105" s="369" t="str">
        <f>IF(D105="","",VLOOKUP(D105,'G-6 Hedgerow Data'!$B$1:$AH$15,33,FALSE))</f>
        <v>Same distinctiveness band or better</v>
      </c>
      <c r="N105" s="376">
        <f t="shared" si="9"/>
        <v>0.27047999999999994</v>
      </c>
      <c r="O105" s="32"/>
      <c r="P105" s="122">
        <v>1.38E-2</v>
      </c>
      <c r="Q105" s="165">
        <v>0.1008</v>
      </c>
      <c r="R105" s="393">
        <f t="shared" si="10"/>
        <v>3.1739999999999997E-2</v>
      </c>
      <c r="S105" s="393">
        <f t="shared" si="11"/>
        <v>0.23183999999999999</v>
      </c>
      <c r="T105" s="393">
        <f t="shared" si="12"/>
        <v>3.0000000000000027E-3</v>
      </c>
      <c r="U105" s="415">
        <f t="shared" si="13"/>
        <v>6.8999999999999617E-3</v>
      </c>
      <c r="V105" s="119" t="s">
        <v>1951</v>
      </c>
      <c r="W105" s="120"/>
      <c r="X105" s="120"/>
      <c r="AE105" s="124" t="b">
        <f t="shared" si="7"/>
        <v>1</v>
      </c>
      <c r="AF105" s="124" t="b">
        <f t="shared" si="8"/>
        <v>1</v>
      </c>
      <c r="AH105" s="124">
        <v>96</v>
      </c>
      <c r="AJ105" s="124">
        <f t="array" ref="AJ105">IFERROR(INDEX($AH$10:$AH$258, MATCH(0, IF(TRUE=$AE$10:$AE$258, COUNTIF($AJ$9:$AJ104, $AH$10:$AH$258), ""), 0)),"")</f>
        <v>117</v>
      </c>
      <c r="AK105" s="124" t="str">
        <f t="array" ref="AK105">IFERROR(INDEX($AH$10:$AH$258, MATCH(0, IF(TRUE=$AF$10:$AF$258, COUNTIF($AK$9:$AK104, $AH$10:$AH$258), ""), 0)),"")</f>
        <v/>
      </c>
      <c r="AL105" s="30" t="str">
        <f>IFERROR(INDEX('G-6 Hedgerow Data'!$BJ$3:$BJ$15,MATCH(D105,'G-6 Hedgerow Data'!$B$3:$B$15,0)),"")</f>
        <v>Hedgecond1</v>
      </c>
    </row>
    <row r="106" spans="2:38" ht="42.75" x14ac:dyDescent="0.2">
      <c r="B106" s="110">
        <v>97</v>
      </c>
      <c r="C106" s="165" t="s">
        <v>1783</v>
      </c>
      <c r="D106" s="165" t="s">
        <v>176</v>
      </c>
      <c r="E106" s="121">
        <v>0.55349999999999999</v>
      </c>
      <c r="F106" s="411" t="str">
        <f>IF(D106="","",VLOOKUP(D106,'G-6 Hedgerow Data'!$B$2:$AG$15,2,FALSE))</f>
        <v>Low</v>
      </c>
      <c r="G106" s="363">
        <f>IF(D106="","",VLOOKUP(D106,'G-6 Hedgerow Data'!$B$2:$AG$15,3,FALSE))</f>
        <v>2</v>
      </c>
      <c r="H106" s="114" t="s">
        <v>68</v>
      </c>
      <c r="I106" s="363">
        <f>IFERROR(VLOOKUP(H106,'G-1 All Habitats'!$Z$2:$AA$9,2,FALSE),"")</f>
        <v>3</v>
      </c>
      <c r="J106" s="114" t="s">
        <v>1037</v>
      </c>
      <c r="K106" s="370" t="str">
        <f>IF(J106="","",IF(VLOOKUP(J106,'G-3 Multipliers'!$L$3:$N$6,2,FALSE)=0,"Spatial Data Missing",VLOOKUP(J106,'G-3 Multipliers'!$L$3:$N$6,2,FALSE)))</f>
        <v>Low Strategic Significance</v>
      </c>
      <c r="L106" s="368">
        <f>IF(J106="","",IF(VLOOKUP(J106,'G-3 Multipliers'!$L$3:$N$6,3,FALSE)=0,"Spatial Data Missing ⚠",VLOOKUP(J106,'G-3 Multipliers'!$L$3:$N$6,3,FALSE)))</f>
        <v>1</v>
      </c>
      <c r="M106" s="369" t="str">
        <f>IF(D106="","",VLOOKUP(D106,'G-6 Hedgerow Data'!$B$1:$AH$15,33,FALSE))</f>
        <v>Same distinctiveness band or better</v>
      </c>
      <c r="N106" s="376">
        <f t="shared" si="9"/>
        <v>3.3209999999999997</v>
      </c>
      <c r="O106" s="32"/>
      <c r="P106" s="122">
        <v>0.15529999999999999</v>
      </c>
      <c r="Q106" s="165">
        <v>0.3982</v>
      </c>
      <c r="R106" s="393">
        <f t="shared" si="10"/>
        <v>0.93179999999999996</v>
      </c>
      <c r="S106" s="393">
        <f t="shared" si="11"/>
        <v>2.3891999999999998</v>
      </c>
      <c r="T106" s="393">
        <f t="shared" si="12"/>
        <v>0</v>
      </c>
      <c r="U106" s="415">
        <f t="shared" si="13"/>
        <v>0</v>
      </c>
      <c r="V106" s="119"/>
      <c r="W106" s="120"/>
      <c r="X106" s="120"/>
      <c r="AE106" s="124" t="b">
        <f t="shared" si="7"/>
        <v>1</v>
      </c>
      <c r="AF106" s="124" t="b">
        <f t="shared" si="8"/>
        <v>1</v>
      </c>
      <c r="AH106" s="124">
        <v>97</v>
      </c>
      <c r="AJ106" s="124">
        <f t="array" ref="AJ106">IFERROR(INDEX($AH$10:$AH$258, MATCH(0, IF(TRUE=$AE$10:$AE$258, COUNTIF($AJ$9:$AJ105, $AH$10:$AH$258), ""), 0)),"")</f>
        <v>118</v>
      </c>
      <c r="AK106" s="124" t="str">
        <f t="array" ref="AK106">IFERROR(INDEX($AH$10:$AH$258, MATCH(0, IF(TRUE=$AF$10:$AF$258, COUNTIF($AK$9:$AK105, $AH$10:$AH$258), ""), 0)),"")</f>
        <v/>
      </c>
      <c r="AL106" s="30" t="str">
        <f>IFERROR(INDEX('G-6 Hedgerow Data'!$BJ$3:$BJ$15,MATCH(D106,'G-6 Hedgerow Data'!$B$3:$B$15,0)),"")</f>
        <v>Hedgecond1</v>
      </c>
    </row>
    <row r="107" spans="2:38" ht="42.75" x14ac:dyDescent="0.2">
      <c r="B107" s="110">
        <v>98</v>
      </c>
      <c r="C107" s="165" t="s">
        <v>1784</v>
      </c>
      <c r="D107" s="165" t="s">
        <v>173</v>
      </c>
      <c r="E107" s="121">
        <v>0.1424</v>
      </c>
      <c r="F107" s="411" t="str">
        <f>IF(D107="","",VLOOKUP(D107,'G-6 Hedgerow Data'!$B$2:$AG$15,2,FALSE))</f>
        <v>Medium</v>
      </c>
      <c r="G107" s="363">
        <f>IF(D107="","",VLOOKUP(D107,'G-6 Hedgerow Data'!$B$2:$AG$15,3,FALSE))</f>
        <v>4</v>
      </c>
      <c r="H107" s="114" t="s">
        <v>68</v>
      </c>
      <c r="I107" s="363">
        <f>IFERROR(VLOOKUP(H107,'G-1 All Habitats'!$Z$2:$AA$9,2,FALSE),"")</f>
        <v>3</v>
      </c>
      <c r="J107" s="114" t="s">
        <v>1037</v>
      </c>
      <c r="K107" s="370" t="str">
        <f>IF(J107="","",IF(VLOOKUP(J107,'G-3 Multipliers'!$L$3:$N$6,2,FALSE)=0,"Spatial Data Missing",VLOOKUP(J107,'G-3 Multipliers'!$L$3:$N$6,2,FALSE)))</f>
        <v>Low Strategic Significance</v>
      </c>
      <c r="L107" s="368">
        <f>IF(J107="","",IF(VLOOKUP(J107,'G-3 Multipliers'!$L$3:$N$6,3,FALSE)=0,"Spatial Data Missing ⚠",VLOOKUP(J107,'G-3 Multipliers'!$L$3:$N$6,3,FALSE)))</f>
        <v>1</v>
      </c>
      <c r="M107" s="369" t="str">
        <f>IF(D107="","",VLOOKUP(D107,'G-6 Hedgerow Data'!$B$1:$AH$15,33,FALSE))</f>
        <v>Same distinctiveness band or better</v>
      </c>
      <c r="N107" s="376">
        <f t="shared" si="9"/>
        <v>1.7088000000000001</v>
      </c>
      <c r="O107" s="32"/>
      <c r="P107" s="122">
        <v>0.1424</v>
      </c>
      <c r="Q107" s="165">
        <v>0</v>
      </c>
      <c r="R107" s="393">
        <f t="shared" si="10"/>
        <v>1.7088000000000001</v>
      </c>
      <c r="S107" s="393">
        <f t="shared" si="11"/>
        <v>0</v>
      </c>
      <c r="T107" s="393">
        <f t="shared" si="12"/>
        <v>0</v>
      </c>
      <c r="U107" s="415">
        <f t="shared" si="13"/>
        <v>0</v>
      </c>
      <c r="V107" s="119"/>
      <c r="W107" s="120"/>
      <c r="X107" s="120"/>
      <c r="AE107" s="124" t="b">
        <f t="shared" si="7"/>
        <v>1</v>
      </c>
      <c r="AF107" s="124" t="b">
        <f t="shared" si="8"/>
        <v>0</v>
      </c>
      <c r="AH107" s="124">
        <v>98</v>
      </c>
      <c r="AJ107" s="124">
        <f t="array" ref="AJ107">IFERROR(INDEX($AH$10:$AH$258, MATCH(0, IF(TRUE=$AE$10:$AE$258, COUNTIF($AJ$9:$AJ106, $AH$10:$AH$258), ""), 0)),"")</f>
        <v>121</v>
      </c>
      <c r="AK107" s="124" t="str">
        <f t="array" ref="AK107">IFERROR(INDEX($AH$10:$AH$258, MATCH(0, IF(TRUE=$AF$10:$AF$258, COUNTIF($AK$9:$AK106, $AH$10:$AH$258), ""), 0)),"")</f>
        <v/>
      </c>
      <c r="AL107" s="30" t="str">
        <f>IFERROR(INDEX('G-6 Hedgerow Data'!$BJ$3:$BJ$15,MATCH(D107,'G-6 Hedgerow Data'!$B$3:$B$15,0)),"")</f>
        <v>Hedgecond1</v>
      </c>
    </row>
    <row r="108" spans="2:38" ht="42.75" x14ac:dyDescent="0.2">
      <c r="B108" s="110">
        <v>99</v>
      </c>
      <c r="C108" s="165" t="s">
        <v>1785</v>
      </c>
      <c r="D108" s="165" t="s">
        <v>176</v>
      </c>
      <c r="E108" s="121">
        <v>0.4274</v>
      </c>
      <c r="F108" s="411" t="str">
        <f>IF(D108="","",VLOOKUP(D108,'G-6 Hedgerow Data'!$B$2:$AG$15,2,FALSE))</f>
        <v>Low</v>
      </c>
      <c r="G108" s="363">
        <f>IF(D108="","",VLOOKUP(D108,'G-6 Hedgerow Data'!$B$2:$AG$15,3,FALSE))</f>
        <v>2</v>
      </c>
      <c r="H108" s="114" t="s">
        <v>68</v>
      </c>
      <c r="I108" s="363">
        <f>IFERROR(VLOOKUP(H108,'G-1 All Habitats'!$Z$2:$AA$9,2,FALSE),"")</f>
        <v>3</v>
      </c>
      <c r="J108" s="114" t="s">
        <v>1037</v>
      </c>
      <c r="K108" s="370" t="str">
        <f>IF(J108="","",IF(VLOOKUP(J108,'G-3 Multipliers'!$L$3:$N$6,2,FALSE)=0,"Spatial Data Missing",VLOOKUP(J108,'G-3 Multipliers'!$L$3:$N$6,2,FALSE)))</f>
        <v>Low Strategic Significance</v>
      </c>
      <c r="L108" s="368">
        <f>IF(J108="","",IF(VLOOKUP(J108,'G-3 Multipliers'!$L$3:$N$6,3,FALSE)=0,"Spatial Data Missing ⚠",VLOOKUP(J108,'G-3 Multipliers'!$L$3:$N$6,3,FALSE)))</f>
        <v>1</v>
      </c>
      <c r="M108" s="369" t="str">
        <f>IF(D108="","",VLOOKUP(D108,'G-6 Hedgerow Data'!$B$1:$AH$15,33,FALSE))</f>
        <v>Same distinctiveness band or better</v>
      </c>
      <c r="N108" s="376">
        <f t="shared" si="9"/>
        <v>2.5644</v>
      </c>
      <c r="O108" s="32"/>
      <c r="P108" s="122">
        <v>0.4274</v>
      </c>
      <c r="Q108" s="165">
        <v>0</v>
      </c>
      <c r="R108" s="393">
        <f t="shared" si="10"/>
        <v>2.5644</v>
      </c>
      <c r="S108" s="393">
        <f t="shared" si="11"/>
        <v>0</v>
      </c>
      <c r="T108" s="393">
        <f t="shared" si="12"/>
        <v>0</v>
      </c>
      <c r="U108" s="415">
        <f t="shared" si="13"/>
        <v>0</v>
      </c>
      <c r="V108" s="119"/>
      <c r="W108" s="120"/>
      <c r="X108" s="120"/>
      <c r="AE108" s="124" t="b">
        <f t="shared" si="7"/>
        <v>1</v>
      </c>
      <c r="AF108" s="124" t="b">
        <f t="shared" si="8"/>
        <v>0</v>
      </c>
      <c r="AH108" s="124">
        <v>99</v>
      </c>
      <c r="AJ108" s="124">
        <f t="array" ref="AJ108">IFERROR(INDEX($AH$10:$AH$258, MATCH(0, IF(TRUE=$AE$10:$AE$258, COUNTIF($AJ$9:$AJ107, $AH$10:$AH$258), ""), 0)),"")</f>
        <v>122</v>
      </c>
      <c r="AK108" s="124" t="str">
        <f t="array" ref="AK108">IFERROR(INDEX($AH$10:$AH$258, MATCH(0, IF(TRUE=$AF$10:$AF$258, COUNTIF($AK$9:$AK107, $AH$10:$AH$258), ""), 0)),"")</f>
        <v/>
      </c>
      <c r="AL108" s="30" t="str">
        <f>IFERROR(INDEX('G-6 Hedgerow Data'!$BJ$3:$BJ$15,MATCH(D108,'G-6 Hedgerow Data'!$B$3:$B$15,0)),"")</f>
        <v>Hedgecond1</v>
      </c>
    </row>
    <row r="109" spans="2:38" ht="42.75" x14ac:dyDescent="0.2">
      <c r="B109" s="110">
        <v>100</v>
      </c>
      <c r="C109" s="165" t="s">
        <v>1786</v>
      </c>
      <c r="D109" s="165" t="s">
        <v>173</v>
      </c>
      <c r="E109" s="121">
        <v>0.53720000000000001</v>
      </c>
      <c r="F109" s="411" t="str">
        <f>IF(D109="","",VLOOKUP(D109,'G-6 Hedgerow Data'!$B$2:$AG$15,2,FALSE))</f>
        <v>Medium</v>
      </c>
      <c r="G109" s="363">
        <f>IF(D109="","",VLOOKUP(D109,'G-6 Hedgerow Data'!$B$2:$AG$15,3,FALSE))</f>
        <v>4</v>
      </c>
      <c r="H109" s="114" t="s">
        <v>68</v>
      </c>
      <c r="I109" s="363">
        <f>IFERROR(VLOOKUP(H109,'G-1 All Habitats'!$Z$2:$AA$9,2,FALSE),"")</f>
        <v>3</v>
      </c>
      <c r="J109" s="114" t="s">
        <v>1037</v>
      </c>
      <c r="K109" s="370" t="str">
        <f>IF(J109="","",IF(VLOOKUP(J109,'G-3 Multipliers'!$L$3:$N$6,2,FALSE)=0,"Spatial Data Missing",VLOOKUP(J109,'G-3 Multipliers'!$L$3:$N$6,2,FALSE)))</f>
        <v>Low Strategic Significance</v>
      </c>
      <c r="L109" s="368">
        <f>IF(J109="","",IF(VLOOKUP(J109,'G-3 Multipliers'!$L$3:$N$6,3,FALSE)=0,"Spatial Data Missing ⚠",VLOOKUP(J109,'G-3 Multipliers'!$L$3:$N$6,3,FALSE)))</f>
        <v>1</v>
      </c>
      <c r="M109" s="369" t="str">
        <f>IF(D109="","",VLOOKUP(D109,'G-6 Hedgerow Data'!$B$1:$AH$15,33,FALSE))</f>
        <v>Same distinctiveness band or better</v>
      </c>
      <c r="N109" s="376">
        <f t="shared" si="9"/>
        <v>6.4464000000000006</v>
      </c>
      <c r="O109" s="32"/>
      <c r="P109" s="122">
        <v>4.7500000000000001E-2</v>
      </c>
      <c r="Q109" s="165">
        <v>0.48970000000000002</v>
      </c>
      <c r="R109" s="393">
        <f t="shared" si="10"/>
        <v>0.57000000000000006</v>
      </c>
      <c r="S109" s="393">
        <f t="shared" si="11"/>
        <v>5.8764000000000003</v>
      </c>
      <c r="T109" s="393">
        <f t="shared" si="12"/>
        <v>0</v>
      </c>
      <c r="U109" s="415">
        <f t="shared" si="13"/>
        <v>0</v>
      </c>
      <c r="V109" s="119"/>
      <c r="W109" s="120"/>
      <c r="X109" s="120"/>
      <c r="AE109" s="124" t="b">
        <f t="shared" si="7"/>
        <v>1</v>
      </c>
      <c r="AF109" s="124" t="b">
        <f t="shared" si="8"/>
        <v>1</v>
      </c>
      <c r="AH109" s="124">
        <v>100</v>
      </c>
      <c r="AJ109" s="124">
        <f t="array" ref="AJ109">IFERROR(INDEX($AH$10:$AH$258, MATCH(0, IF(TRUE=$AE$10:$AE$258, COUNTIF($AJ$9:$AJ108, $AH$10:$AH$258), ""), 0)),"")</f>
        <v>123</v>
      </c>
      <c r="AK109" s="124" t="str">
        <f t="array" ref="AK109">IFERROR(INDEX($AH$10:$AH$258, MATCH(0, IF(TRUE=$AF$10:$AF$258, COUNTIF($AK$9:$AK108, $AH$10:$AH$258), ""), 0)),"")</f>
        <v/>
      </c>
      <c r="AL109" s="30" t="str">
        <f>IFERROR(INDEX('G-6 Hedgerow Data'!$BJ$3:$BJ$15,MATCH(D109,'G-6 Hedgerow Data'!$B$3:$B$15,0)),"")</f>
        <v>Hedgecond1</v>
      </c>
    </row>
    <row r="110" spans="2:38" ht="42.75" x14ac:dyDescent="0.2">
      <c r="B110" s="110">
        <v>101</v>
      </c>
      <c r="C110" s="165" t="s">
        <v>1787</v>
      </c>
      <c r="D110" s="165" t="s">
        <v>171</v>
      </c>
      <c r="E110" s="121">
        <v>0.54990000000000006</v>
      </c>
      <c r="F110" s="411" t="str">
        <f>IF(D110="","",VLOOKUP(D110,'G-6 Hedgerow Data'!$B$2:$AG$15,2,FALSE))</f>
        <v>Medium</v>
      </c>
      <c r="G110" s="363">
        <f>IF(D110="","",VLOOKUP(D110,'G-6 Hedgerow Data'!$B$2:$AG$15,3,FALSE))</f>
        <v>4</v>
      </c>
      <c r="H110" s="114" t="s">
        <v>68</v>
      </c>
      <c r="I110" s="363">
        <f>IFERROR(VLOOKUP(H110,'G-1 All Habitats'!$Z$2:$AA$9,2,FALSE),"")</f>
        <v>3</v>
      </c>
      <c r="J110" s="114" t="s">
        <v>1037</v>
      </c>
      <c r="K110" s="370" t="str">
        <f>IF(J110="","",IF(VLOOKUP(J110,'G-3 Multipliers'!$L$3:$N$6,2,FALSE)=0,"Spatial Data Missing",VLOOKUP(J110,'G-3 Multipliers'!$L$3:$N$6,2,FALSE)))</f>
        <v>Low Strategic Significance</v>
      </c>
      <c r="L110" s="368">
        <f>IF(J110="","",IF(VLOOKUP(J110,'G-3 Multipliers'!$L$3:$N$6,3,FALSE)=0,"Spatial Data Missing ⚠",VLOOKUP(J110,'G-3 Multipliers'!$L$3:$N$6,3,FALSE)))</f>
        <v>1</v>
      </c>
      <c r="M110" s="369" t="str">
        <f>IF(D110="","",VLOOKUP(D110,'G-6 Hedgerow Data'!$B$1:$AH$15,33,FALSE))</f>
        <v>Same distinctiveness band or better</v>
      </c>
      <c r="N110" s="376">
        <f t="shared" si="9"/>
        <v>6.5988000000000007</v>
      </c>
      <c r="O110" s="32"/>
      <c r="P110" s="122">
        <v>7.9500000000000001E-2</v>
      </c>
      <c r="Q110" s="165">
        <v>0.4703</v>
      </c>
      <c r="R110" s="393">
        <f t="shared" si="10"/>
        <v>0.95399999999999996</v>
      </c>
      <c r="S110" s="393">
        <f t="shared" si="11"/>
        <v>5.6436000000000002</v>
      </c>
      <c r="T110" s="393">
        <f t="shared" si="12"/>
        <v>1.000000000000445E-4</v>
      </c>
      <c r="U110" s="415">
        <f t="shared" si="13"/>
        <v>1.200000000000756E-3</v>
      </c>
      <c r="V110" s="119"/>
      <c r="W110" s="120"/>
      <c r="X110" s="120"/>
      <c r="AE110" s="124" t="b">
        <f t="shared" si="7"/>
        <v>1</v>
      </c>
      <c r="AF110" s="124" t="b">
        <f t="shared" si="8"/>
        <v>1</v>
      </c>
      <c r="AH110" s="124">
        <v>101</v>
      </c>
      <c r="AJ110" s="124">
        <f t="array" ref="AJ110">IFERROR(INDEX($AH$10:$AH$258, MATCH(0, IF(TRUE=$AE$10:$AE$258, COUNTIF($AJ$9:$AJ109, $AH$10:$AH$258), ""), 0)),"")</f>
        <v>124</v>
      </c>
      <c r="AK110" s="124" t="str">
        <f t="array" ref="AK110">IFERROR(INDEX($AH$10:$AH$258, MATCH(0, IF(TRUE=$AF$10:$AF$258, COUNTIF($AK$9:$AK109, $AH$10:$AH$258), ""), 0)),"")</f>
        <v/>
      </c>
      <c r="AL110" s="30" t="str">
        <f>IFERROR(INDEX('G-6 Hedgerow Data'!$BJ$3:$BJ$15,MATCH(D110,'G-6 Hedgerow Data'!$B$3:$B$15,0)),"")</f>
        <v>Hedgecond1</v>
      </c>
    </row>
    <row r="111" spans="2:38" ht="42.75" x14ac:dyDescent="0.2">
      <c r="B111" s="110">
        <v>102</v>
      </c>
      <c r="C111" s="165" t="s">
        <v>1788</v>
      </c>
      <c r="D111" s="165" t="s">
        <v>173</v>
      </c>
      <c r="E111" s="121">
        <v>0.12429999999999999</v>
      </c>
      <c r="F111" s="411" t="str">
        <f>IF(D111="","",VLOOKUP(D111,'G-6 Hedgerow Data'!$B$2:$AG$15,2,FALSE))</f>
        <v>Medium</v>
      </c>
      <c r="G111" s="363">
        <f>IF(D111="","",VLOOKUP(D111,'G-6 Hedgerow Data'!$B$2:$AG$15,3,FALSE))</f>
        <v>4</v>
      </c>
      <c r="H111" s="114" t="s">
        <v>68</v>
      </c>
      <c r="I111" s="363">
        <f>IFERROR(VLOOKUP(H111,'G-1 All Habitats'!$Z$2:$AA$9,2,FALSE),"")</f>
        <v>3</v>
      </c>
      <c r="J111" s="114" t="s">
        <v>1037</v>
      </c>
      <c r="K111" s="370" t="str">
        <f>IF(J111="","",IF(VLOOKUP(J111,'G-3 Multipliers'!$L$3:$N$6,2,FALSE)=0,"Spatial Data Missing",VLOOKUP(J111,'G-3 Multipliers'!$L$3:$N$6,2,FALSE)))</f>
        <v>Low Strategic Significance</v>
      </c>
      <c r="L111" s="368">
        <f>IF(J111="","",IF(VLOOKUP(J111,'G-3 Multipliers'!$L$3:$N$6,3,FALSE)=0,"Spatial Data Missing ⚠",VLOOKUP(J111,'G-3 Multipliers'!$L$3:$N$6,3,FALSE)))</f>
        <v>1</v>
      </c>
      <c r="M111" s="369" t="str">
        <f>IF(D111="","",VLOOKUP(D111,'G-6 Hedgerow Data'!$B$1:$AH$15,33,FALSE))</f>
        <v>Same distinctiveness band or better</v>
      </c>
      <c r="N111" s="376">
        <f t="shared" si="9"/>
        <v>1.4916</v>
      </c>
      <c r="O111" s="32"/>
      <c r="P111" s="122">
        <v>0.12379999999999999</v>
      </c>
      <c r="Q111" s="165">
        <v>0</v>
      </c>
      <c r="R111" s="393">
        <f t="shared" si="10"/>
        <v>1.4855999999999998</v>
      </c>
      <c r="S111" s="393">
        <f t="shared" si="11"/>
        <v>0</v>
      </c>
      <c r="T111" s="393">
        <f t="shared" si="12"/>
        <v>5.0000000000000044E-4</v>
      </c>
      <c r="U111" s="415">
        <f t="shared" si="13"/>
        <v>6.0000000000002274E-3</v>
      </c>
      <c r="V111" s="119" t="s">
        <v>1952</v>
      </c>
      <c r="W111" s="120"/>
      <c r="X111" s="120"/>
      <c r="AE111" s="124" t="b">
        <f t="shared" si="7"/>
        <v>1</v>
      </c>
      <c r="AF111" s="124" t="b">
        <f t="shared" si="8"/>
        <v>0</v>
      </c>
      <c r="AH111" s="124">
        <v>102</v>
      </c>
      <c r="AJ111" s="124">
        <f t="array" ref="AJ111">IFERROR(INDEX($AH$10:$AH$258, MATCH(0, IF(TRUE=$AE$10:$AE$258, COUNTIF($AJ$9:$AJ110, $AH$10:$AH$258), ""), 0)),"")</f>
        <v>125</v>
      </c>
      <c r="AK111" s="124" t="str">
        <f t="array" ref="AK111">IFERROR(INDEX($AH$10:$AH$258, MATCH(0, IF(TRUE=$AF$10:$AF$258, COUNTIF($AK$9:$AK110, $AH$10:$AH$258), ""), 0)),"")</f>
        <v/>
      </c>
      <c r="AL111" s="30" t="str">
        <f>IFERROR(INDEX('G-6 Hedgerow Data'!$BJ$3:$BJ$15,MATCH(D111,'G-6 Hedgerow Data'!$B$3:$B$15,0)),"")</f>
        <v>Hedgecond1</v>
      </c>
    </row>
    <row r="112" spans="2:38" ht="42.75" x14ac:dyDescent="0.2">
      <c r="B112" s="110">
        <v>103</v>
      </c>
      <c r="C112" s="165" t="s">
        <v>1789</v>
      </c>
      <c r="D112" s="165" t="s">
        <v>176</v>
      </c>
      <c r="E112" s="121">
        <v>0.56720000000000004</v>
      </c>
      <c r="F112" s="411" t="str">
        <f>IF(D112="","",VLOOKUP(D112,'G-6 Hedgerow Data'!$B$2:$AG$15,2,FALSE))</f>
        <v>Low</v>
      </c>
      <c r="G112" s="363">
        <f>IF(D112="","",VLOOKUP(D112,'G-6 Hedgerow Data'!$B$2:$AG$15,3,FALSE))</f>
        <v>2</v>
      </c>
      <c r="H112" s="114" t="s">
        <v>68</v>
      </c>
      <c r="I112" s="363">
        <f>IFERROR(VLOOKUP(H112,'G-1 All Habitats'!$Z$2:$AA$9,2,FALSE),"")</f>
        <v>3</v>
      </c>
      <c r="J112" s="114" t="s">
        <v>1037</v>
      </c>
      <c r="K112" s="370" t="str">
        <f>IF(J112="","",IF(VLOOKUP(J112,'G-3 Multipliers'!$L$3:$N$6,2,FALSE)=0,"Spatial Data Missing",VLOOKUP(J112,'G-3 Multipliers'!$L$3:$N$6,2,FALSE)))</f>
        <v>Low Strategic Significance</v>
      </c>
      <c r="L112" s="368">
        <f>IF(J112="","",IF(VLOOKUP(J112,'G-3 Multipliers'!$L$3:$N$6,3,FALSE)=0,"Spatial Data Missing ⚠",VLOOKUP(J112,'G-3 Multipliers'!$L$3:$N$6,3,FALSE)))</f>
        <v>1</v>
      </c>
      <c r="M112" s="369" t="str">
        <f>IF(D112="","",VLOOKUP(D112,'G-6 Hedgerow Data'!$B$1:$AH$15,33,FALSE))</f>
        <v>Same distinctiveness band or better</v>
      </c>
      <c r="N112" s="376">
        <f t="shared" si="9"/>
        <v>3.4032</v>
      </c>
      <c r="O112" s="32"/>
      <c r="P112" s="122">
        <v>0.56720000000000004</v>
      </c>
      <c r="Q112" s="165">
        <v>0</v>
      </c>
      <c r="R112" s="393">
        <f t="shared" si="10"/>
        <v>3.4032</v>
      </c>
      <c r="S112" s="393">
        <f t="shared" si="11"/>
        <v>0</v>
      </c>
      <c r="T112" s="393">
        <f t="shared" si="12"/>
        <v>0</v>
      </c>
      <c r="U112" s="415">
        <f t="shared" si="13"/>
        <v>0</v>
      </c>
      <c r="V112" s="119"/>
      <c r="W112" s="120"/>
      <c r="X112" s="120"/>
      <c r="AE112" s="124" t="b">
        <f t="shared" si="7"/>
        <v>1</v>
      </c>
      <c r="AF112" s="124" t="b">
        <f t="shared" si="8"/>
        <v>0</v>
      </c>
      <c r="AH112" s="124">
        <v>103</v>
      </c>
      <c r="AJ112" s="124">
        <f t="array" ref="AJ112">IFERROR(INDEX($AH$10:$AH$258, MATCH(0, IF(TRUE=$AE$10:$AE$258, COUNTIF($AJ$9:$AJ111, $AH$10:$AH$258), ""), 0)),"")</f>
        <v>126</v>
      </c>
      <c r="AK112" s="124" t="str">
        <f t="array" ref="AK112">IFERROR(INDEX($AH$10:$AH$258, MATCH(0, IF(TRUE=$AF$10:$AF$258, COUNTIF($AK$9:$AK111, $AH$10:$AH$258), ""), 0)),"")</f>
        <v/>
      </c>
      <c r="AL112" s="30" t="str">
        <f>IFERROR(INDEX('G-6 Hedgerow Data'!$BJ$3:$BJ$15,MATCH(D112,'G-6 Hedgerow Data'!$B$3:$B$15,0)),"")</f>
        <v>Hedgecond1</v>
      </c>
    </row>
    <row r="113" spans="2:38" ht="42.75" x14ac:dyDescent="0.2">
      <c r="B113" s="110">
        <v>104</v>
      </c>
      <c r="C113" s="165" t="s">
        <v>1790</v>
      </c>
      <c r="D113" s="165" t="s">
        <v>171</v>
      </c>
      <c r="E113" s="121">
        <v>0.3775</v>
      </c>
      <c r="F113" s="411" t="str">
        <f>IF(D113="","",VLOOKUP(D113,'G-6 Hedgerow Data'!$B$2:$AG$15,2,FALSE))</f>
        <v>Medium</v>
      </c>
      <c r="G113" s="363">
        <f>IF(D113="","",VLOOKUP(D113,'G-6 Hedgerow Data'!$B$2:$AG$15,3,FALSE))</f>
        <v>4</v>
      </c>
      <c r="H113" s="114" t="s">
        <v>68</v>
      </c>
      <c r="I113" s="363">
        <f>IFERROR(VLOOKUP(H113,'G-1 All Habitats'!$Z$2:$AA$9,2,FALSE),"")</f>
        <v>3</v>
      </c>
      <c r="J113" s="114" t="s">
        <v>1037</v>
      </c>
      <c r="K113" s="370" t="str">
        <f>IF(J113="","",IF(VLOOKUP(J113,'G-3 Multipliers'!$L$3:$N$6,2,FALSE)=0,"Spatial Data Missing",VLOOKUP(J113,'G-3 Multipliers'!$L$3:$N$6,2,FALSE)))</f>
        <v>Low Strategic Significance</v>
      </c>
      <c r="L113" s="368">
        <f>IF(J113="","",IF(VLOOKUP(J113,'G-3 Multipliers'!$L$3:$N$6,3,FALSE)=0,"Spatial Data Missing ⚠",VLOOKUP(J113,'G-3 Multipliers'!$L$3:$N$6,3,FALSE)))</f>
        <v>1</v>
      </c>
      <c r="M113" s="369" t="str">
        <f>IF(D113="","",VLOOKUP(D113,'G-6 Hedgerow Data'!$B$1:$AH$15,33,FALSE))</f>
        <v>Same distinctiveness band or better</v>
      </c>
      <c r="N113" s="376">
        <f t="shared" si="9"/>
        <v>4.53</v>
      </c>
      <c r="O113" s="32"/>
      <c r="P113" s="122">
        <v>0.37330000000000002</v>
      </c>
      <c r="Q113" s="165">
        <v>0</v>
      </c>
      <c r="R113" s="393">
        <f t="shared" si="10"/>
        <v>4.4796000000000005</v>
      </c>
      <c r="S113" s="393">
        <f t="shared" si="11"/>
        <v>0</v>
      </c>
      <c r="T113" s="393">
        <f t="shared" si="12"/>
        <v>4.1999999999999815E-3</v>
      </c>
      <c r="U113" s="415">
        <f t="shared" si="13"/>
        <v>5.0399999999999778E-2</v>
      </c>
      <c r="V113" s="119" t="s">
        <v>1953</v>
      </c>
      <c r="W113" s="120"/>
      <c r="X113" s="120"/>
      <c r="AE113" s="124" t="b">
        <f t="shared" si="7"/>
        <v>1</v>
      </c>
      <c r="AF113" s="124" t="b">
        <f t="shared" si="8"/>
        <v>0</v>
      </c>
      <c r="AH113" s="124">
        <v>104</v>
      </c>
      <c r="AJ113" s="124">
        <f t="array" ref="AJ113">IFERROR(INDEX($AH$10:$AH$258, MATCH(0, IF(TRUE=$AE$10:$AE$258, COUNTIF($AJ$9:$AJ112, $AH$10:$AH$258), ""), 0)),"")</f>
        <v>127</v>
      </c>
      <c r="AK113" s="124" t="str">
        <f t="array" ref="AK113">IFERROR(INDEX($AH$10:$AH$258, MATCH(0, IF(TRUE=$AF$10:$AF$258, COUNTIF($AK$9:$AK112, $AH$10:$AH$258), ""), 0)),"")</f>
        <v/>
      </c>
      <c r="AL113" s="30" t="str">
        <f>IFERROR(INDEX('G-6 Hedgerow Data'!$BJ$3:$BJ$15,MATCH(D113,'G-6 Hedgerow Data'!$B$3:$B$15,0)),"")</f>
        <v>Hedgecond1</v>
      </c>
    </row>
    <row r="114" spans="2:38" ht="42.75" x14ac:dyDescent="0.2">
      <c r="B114" s="110">
        <v>105</v>
      </c>
      <c r="C114" s="165" t="s">
        <v>1791</v>
      </c>
      <c r="D114" s="165" t="s">
        <v>171</v>
      </c>
      <c r="E114" s="121">
        <v>0.16969999999999999</v>
      </c>
      <c r="F114" s="411" t="str">
        <f>IF(D114="","",VLOOKUP(D114,'G-6 Hedgerow Data'!$B$2:$AG$15,2,FALSE))</f>
        <v>Medium</v>
      </c>
      <c r="G114" s="363">
        <f>IF(D114="","",VLOOKUP(D114,'G-6 Hedgerow Data'!$B$2:$AG$15,3,FALSE))</f>
        <v>4</v>
      </c>
      <c r="H114" s="114" t="s">
        <v>67</v>
      </c>
      <c r="I114" s="363">
        <f>IFERROR(VLOOKUP(H114,'G-1 All Habitats'!$Z$2:$AA$9,2,FALSE),"")</f>
        <v>2</v>
      </c>
      <c r="J114" s="114" t="s">
        <v>1037</v>
      </c>
      <c r="K114" s="370" t="str">
        <f>IF(J114="","",IF(VLOOKUP(J114,'G-3 Multipliers'!$L$3:$N$6,2,FALSE)=0,"Spatial Data Missing",VLOOKUP(J114,'G-3 Multipliers'!$L$3:$N$6,2,FALSE)))</f>
        <v>Low Strategic Significance</v>
      </c>
      <c r="L114" s="368">
        <f>IF(J114="","",IF(VLOOKUP(J114,'G-3 Multipliers'!$L$3:$N$6,3,FALSE)=0,"Spatial Data Missing ⚠",VLOOKUP(J114,'G-3 Multipliers'!$L$3:$N$6,3,FALSE)))</f>
        <v>1</v>
      </c>
      <c r="M114" s="369" t="str">
        <f>IF(D114="","",VLOOKUP(D114,'G-6 Hedgerow Data'!$B$1:$AH$15,33,FALSE))</f>
        <v>Same distinctiveness band or better</v>
      </c>
      <c r="N114" s="376">
        <f t="shared" si="9"/>
        <v>1.3575999999999999</v>
      </c>
      <c r="O114" s="32"/>
      <c r="P114" s="122">
        <v>0</v>
      </c>
      <c r="Q114" s="165">
        <v>0.16969999999999999</v>
      </c>
      <c r="R114" s="393">
        <f t="shared" si="10"/>
        <v>0</v>
      </c>
      <c r="S114" s="393">
        <f t="shared" si="11"/>
        <v>1.3575999999999999</v>
      </c>
      <c r="T114" s="393">
        <f t="shared" si="12"/>
        <v>0</v>
      </c>
      <c r="U114" s="415">
        <f t="shared" si="13"/>
        <v>0</v>
      </c>
      <c r="V114" s="119"/>
      <c r="W114" s="120"/>
      <c r="X114" s="120"/>
      <c r="AE114" s="124" t="b">
        <f t="shared" si="7"/>
        <v>0</v>
      </c>
      <c r="AF114" s="124" t="b">
        <f t="shared" si="8"/>
        <v>1</v>
      </c>
      <c r="AH114" s="124">
        <v>105</v>
      </c>
      <c r="AJ114" s="124">
        <f t="array" ref="AJ114">IFERROR(INDEX($AH$10:$AH$258, MATCH(0, IF(TRUE=$AE$10:$AE$258, COUNTIF($AJ$9:$AJ113, $AH$10:$AH$258), ""), 0)),"")</f>
        <v>128</v>
      </c>
      <c r="AK114" s="124" t="str">
        <f t="array" ref="AK114">IFERROR(INDEX($AH$10:$AH$258, MATCH(0, IF(TRUE=$AF$10:$AF$258, COUNTIF($AK$9:$AK113, $AH$10:$AH$258), ""), 0)),"")</f>
        <v/>
      </c>
      <c r="AL114" s="30" t="str">
        <f>IFERROR(INDEX('G-6 Hedgerow Data'!$BJ$3:$BJ$15,MATCH(D114,'G-6 Hedgerow Data'!$B$3:$B$15,0)),"")</f>
        <v>Hedgecond1</v>
      </c>
    </row>
    <row r="115" spans="2:38" ht="42.75" x14ac:dyDescent="0.2">
      <c r="B115" s="110">
        <v>106</v>
      </c>
      <c r="C115" s="165" t="s">
        <v>1792</v>
      </c>
      <c r="D115" s="165" t="s">
        <v>176</v>
      </c>
      <c r="E115" s="121">
        <v>0.22120000000000001</v>
      </c>
      <c r="F115" s="411" t="str">
        <f>IF(D115="","",VLOOKUP(D115,'G-6 Hedgerow Data'!$B$2:$AG$15,2,FALSE))</f>
        <v>Low</v>
      </c>
      <c r="G115" s="363">
        <f>IF(D115="","",VLOOKUP(D115,'G-6 Hedgerow Data'!$B$2:$AG$15,3,FALSE))</f>
        <v>2</v>
      </c>
      <c r="H115" s="114" t="s">
        <v>329</v>
      </c>
      <c r="I115" s="363">
        <f>IFERROR(VLOOKUP(H115,'G-1 All Habitats'!$Z$2:$AA$9,2,FALSE),"")</f>
        <v>1</v>
      </c>
      <c r="J115" s="114" t="s">
        <v>1037</v>
      </c>
      <c r="K115" s="370" t="str">
        <f>IF(J115="","",IF(VLOOKUP(J115,'G-3 Multipliers'!$L$3:$N$6,2,FALSE)=0,"Spatial Data Missing",VLOOKUP(J115,'G-3 Multipliers'!$L$3:$N$6,2,FALSE)))</f>
        <v>Low Strategic Significance</v>
      </c>
      <c r="L115" s="368">
        <f>IF(J115="","",IF(VLOOKUP(J115,'G-3 Multipliers'!$L$3:$N$6,3,FALSE)=0,"Spatial Data Missing ⚠",VLOOKUP(J115,'G-3 Multipliers'!$L$3:$N$6,3,FALSE)))</f>
        <v>1</v>
      </c>
      <c r="M115" s="369" t="str">
        <f>IF(D115="","",VLOOKUP(D115,'G-6 Hedgerow Data'!$B$1:$AH$15,33,FALSE))</f>
        <v>Same distinctiveness band or better</v>
      </c>
      <c r="N115" s="376">
        <f t="shared" si="9"/>
        <v>0.44240000000000002</v>
      </c>
      <c r="O115" s="32"/>
      <c r="P115" s="122">
        <v>0.2112</v>
      </c>
      <c r="Q115" s="165">
        <v>0</v>
      </c>
      <c r="R115" s="393">
        <f t="shared" si="10"/>
        <v>0.4224</v>
      </c>
      <c r="S115" s="393">
        <f t="shared" si="11"/>
        <v>0</v>
      </c>
      <c r="T115" s="393">
        <f t="shared" si="12"/>
        <v>1.0000000000000009E-2</v>
      </c>
      <c r="U115" s="415">
        <f t="shared" si="13"/>
        <v>2.0000000000000018E-2</v>
      </c>
      <c r="V115" s="119" t="s">
        <v>1954</v>
      </c>
      <c r="W115" s="120"/>
      <c r="X115" s="120"/>
      <c r="AE115" s="124" t="b">
        <f t="shared" si="7"/>
        <v>1</v>
      </c>
      <c r="AF115" s="124" t="b">
        <f t="shared" si="8"/>
        <v>0</v>
      </c>
      <c r="AH115" s="124">
        <v>106</v>
      </c>
      <c r="AJ115" s="124">
        <f t="array" ref="AJ115">IFERROR(INDEX($AH$10:$AH$258, MATCH(0, IF(TRUE=$AE$10:$AE$258, COUNTIF($AJ$9:$AJ114, $AH$10:$AH$258), ""), 0)),"")</f>
        <v>129</v>
      </c>
      <c r="AK115" s="124" t="str">
        <f t="array" ref="AK115">IFERROR(INDEX($AH$10:$AH$258, MATCH(0, IF(TRUE=$AF$10:$AF$258, COUNTIF($AK$9:$AK114, $AH$10:$AH$258), ""), 0)),"")</f>
        <v/>
      </c>
      <c r="AL115" s="30" t="str">
        <f>IFERROR(INDEX('G-6 Hedgerow Data'!$BJ$3:$BJ$15,MATCH(D115,'G-6 Hedgerow Data'!$B$3:$B$15,0)),"")</f>
        <v>Hedgecond1</v>
      </c>
    </row>
    <row r="116" spans="2:38" ht="42.75" x14ac:dyDescent="0.2">
      <c r="B116" s="110">
        <v>107</v>
      </c>
      <c r="C116" s="165" t="s">
        <v>1793</v>
      </c>
      <c r="D116" s="165" t="s">
        <v>171</v>
      </c>
      <c r="E116" s="121">
        <v>0.3221</v>
      </c>
      <c r="F116" s="411" t="str">
        <f>IF(D116="","",VLOOKUP(D116,'G-6 Hedgerow Data'!$B$2:$AG$15,2,FALSE))</f>
        <v>Medium</v>
      </c>
      <c r="G116" s="363">
        <f>IF(D116="","",VLOOKUP(D116,'G-6 Hedgerow Data'!$B$2:$AG$15,3,FALSE))</f>
        <v>4</v>
      </c>
      <c r="H116" s="114" t="s">
        <v>329</v>
      </c>
      <c r="I116" s="363">
        <f>IFERROR(VLOOKUP(H116,'G-1 All Habitats'!$Z$2:$AA$9,2,FALSE),"")</f>
        <v>1</v>
      </c>
      <c r="J116" s="114" t="s">
        <v>1037</v>
      </c>
      <c r="K116" s="370" t="str">
        <f>IF(J116="","",IF(VLOOKUP(J116,'G-3 Multipliers'!$L$3:$N$6,2,FALSE)=0,"Spatial Data Missing",VLOOKUP(J116,'G-3 Multipliers'!$L$3:$N$6,2,FALSE)))</f>
        <v>Low Strategic Significance</v>
      </c>
      <c r="L116" s="368">
        <f>IF(J116="","",IF(VLOOKUP(J116,'G-3 Multipliers'!$L$3:$N$6,3,FALSE)=0,"Spatial Data Missing ⚠",VLOOKUP(J116,'G-3 Multipliers'!$L$3:$N$6,3,FALSE)))</f>
        <v>1</v>
      </c>
      <c r="M116" s="369" t="str">
        <f>IF(D116="","",VLOOKUP(D116,'G-6 Hedgerow Data'!$B$1:$AH$15,33,FALSE))</f>
        <v>Same distinctiveness band or better</v>
      </c>
      <c r="N116" s="376">
        <f t="shared" si="9"/>
        <v>1.2884</v>
      </c>
      <c r="O116" s="32"/>
      <c r="P116" s="122">
        <v>0.3221</v>
      </c>
      <c r="Q116" s="165">
        <v>0</v>
      </c>
      <c r="R116" s="393">
        <f t="shared" si="10"/>
        <v>1.2884</v>
      </c>
      <c r="S116" s="393">
        <f t="shared" si="11"/>
        <v>0</v>
      </c>
      <c r="T116" s="393">
        <f t="shared" si="12"/>
        <v>0</v>
      </c>
      <c r="U116" s="415">
        <f t="shared" si="13"/>
        <v>0</v>
      </c>
      <c r="V116" s="119"/>
      <c r="W116" s="120"/>
      <c r="X116" s="120"/>
      <c r="AE116" s="124" t="b">
        <f t="shared" si="7"/>
        <v>1</v>
      </c>
      <c r="AF116" s="124" t="b">
        <f t="shared" si="8"/>
        <v>0</v>
      </c>
      <c r="AH116" s="124">
        <v>107</v>
      </c>
      <c r="AJ116" s="124">
        <f t="array" ref="AJ116">IFERROR(INDEX($AH$10:$AH$258, MATCH(0, IF(TRUE=$AE$10:$AE$258, COUNTIF($AJ$9:$AJ115, $AH$10:$AH$258), ""), 0)),"")</f>
        <v>130</v>
      </c>
      <c r="AK116" s="124" t="str">
        <f t="array" ref="AK116">IFERROR(INDEX($AH$10:$AH$258, MATCH(0, IF(TRUE=$AF$10:$AF$258, COUNTIF($AK$9:$AK115, $AH$10:$AH$258), ""), 0)),"")</f>
        <v/>
      </c>
      <c r="AL116" s="30" t="str">
        <f>IFERROR(INDEX('G-6 Hedgerow Data'!$BJ$3:$BJ$15,MATCH(D116,'G-6 Hedgerow Data'!$B$3:$B$15,0)),"")</f>
        <v>Hedgecond1</v>
      </c>
    </row>
    <row r="117" spans="2:38" ht="42.75" x14ac:dyDescent="0.2">
      <c r="B117" s="110">
        <v>108</v>
      </c>
      <c r="C117" s="165" t="s">
        <v>1794</v>
      </c>
      <c r="D117" s="165" t="s">
        <v>176</v>
      </c>
      <c r="E117" s="121">
        <v>0.30380000000000001</v>
      </c>
      <c r="F117" s="411" t="str">
        <f>IF(D117="","",VLOOKUP(D117,'G-6 Hedgerow Data'!$B$2:$AG$15,2,FALSE))</f>
        <v>Low</v>
      </c>
      <c r="G117" s="363">
        <f>IF(D117="","",VLOOKUP(D117,'G-6 Hedgerow Data'!$B$2:$AG$15,3,FALSE))</f>
        <v>2</v>
      </c>
      <c r="H117" s="114" t="s">
        <v>329</v>
      </c>
      <c r="I117" s="363">
        <f>IFERROR(VLOOKUP(H117,'G-1 All Habitats'!$Z$2:$AA$9,2,FALSE),"")</f>
        <v>1</v>
      </c>
      <c r="J117" s="114" t="s">
        <v>1037</v>
      </c>
      <c r="K117" s="370" t="str">
        <f>IF(J117="","",IF(VLOOKUP(J117,'G-3 Multipliers'!$L$3:$N$6,2,FALSE)=0,"Spatial Data Missing",VLOOKUP(J117,'G-3 Multipliers'!$L$3:$N$6,2,FALSE)))</f>
        <v>Low Strategic Significance</v>
      </c>
      <c r="L117" s="368">
        <f>IF(J117="","",IF(VLOOKUP(J117,'G-3 Multipliers'!$L$3:$N$6,3,FALSE)=0,"Spatial Data Missing ⚠",VLOOKUP(J117,'G-3 Multipliers'!$L$3:$N$6,3,FALSE)))</f>
        <v>1</v>
      </c>
      <c r="M117" s="369" t="str">
        <f>IF(D117="","",VLOOKUP(D117,'G-6 Hedgerow Data'!$B$1:$AH$15,33,FALSE))</f>
        <v>Same distinctiveness band or better</v>
      </c>
      <c r="N117" s="376">
        <f t="shared" si="9"/>
        <v>0.60760000000000003</v>
      </c>
      <c r="O117" s="32"/>
      <c r="P117" s="122">
        <v>0</v>
      </c>
      <c r="Q117" s="165">
        <v>0.30380000000000001</v>
      </c>
      <c r="R117" s="393">
        <f t="shared" si="10"/>
        <v>0</v>
      </c>
      <c r="S117" s="393">
        <f t="shared" si="11"/>
        <v>0.60760000000000003</v>
      </c>
      <c r="T117" s="393">
        <f t="shared" si="12"/>
        <v>0</v>
      </c>
      <c r="U117" s="415">
        <f t="shared" si="13"/>
        <v>0</v>
      </c>
      <c r="V117" s="119"/>
      <c r="W117" s="120"/>
      <c r="X117" s="120"/>
      <c r="AE117" s="124" t="b">
        <f t="shared" si="7"/>
        <v>0</v>
      </c>
      <c r="AF117" s="124" t="b">
        <f t="shared" si="8"/>
        <v>1</v>
      </c>
      <c r="AH117" s="124">
        <v>108</v>
      </c>
      <c r="AJ117" s="124">
        <f t="array" ref="AJ117">IFERROR(INDEX($AH$10:$AH$258, MATCH(0, IF(TRUE=$AE$10:$AE$258, COUNTIF($AJ$9:$AJ116, $AH$10:$AH$258), ""), 0)),"")</f>
        <v>131</v>
      </c>
      <c r="AK117" s="124" t="str">
        <f t="array" ref="AK117">IFERROR(INDEX($AH$10:$AH$258, MATCH(0, IF(TRUE=$AF$10:$AF$258, COUNTIF($AK$9:$AK116, $AH$10:$AH$258), ""), 0)),"")</f>
        <v/>
      </c>
      <c r="AL117" s="30" t="str">
        <f>IFERROR(INDEX('G-6 Hedgerow Data'!$BJ$3:$BJ$15,MATCH(D117,'G-6 Hedgerow Data'!$B$3:$B$15,0)),"")</f>
        <v>Hedgecond1</v>
      </c>
    </row>
    <row r="118" spans="2:38" ht="42.75" x14ac:dyDescent="0.2">
      <c r="B118" s="110">
        <v>109</v>
      </c>
      <c r="C118" s="165" t="s">
        <v>1795</v>
      </c>
      <c r="D118" s="165" t="s">
        <v>176</v>
      </c>
      <c r="E118" s="121">
        <v>0.2772</v>
      </c>
      <c r="F118" s="411" t="str">
        <f>IF(D118="","",VLOOKUP(D118,'G-6 Hedgerow Data'!$B$2:$AG$15,2,FALSE))</f>
        <v>Low</v>
      </c>
      <c r="G118" s="363">
        <f>IF(D118="","",VLOOKUP(D118,'G-6 Hedgerow Data'!$B$2:$AG$15,3,FALSE))</f>
        <v>2</v>
      </c>
      <c r="H118" s="114" t="s">
        <v>67</v>
      </c>
      <c r="I118" s="363">
        <f>IFERROR(VLOOKUP(H118,'G-1 All Habitats'!$Z$2:$AA$9,2,FALSE),"")</f>
        <v>2</v>
      </c>
      <c r="J118" s="114" t="s">
        <v>1037</v>
      </c>
      <c r="K118" s="370" t="str">
        <f>IF(J118="","",IF(VLOOKUP(J118,'G-3 Multipliers'!$L$3:$N$6,2,FALSE)=0,"Spatial Data Missing",VLOOKUP(J118,'G-3 Multipliers'!$L$3:$N$6,2,FALSE)))</f>
        <v>Low Strategic Significance</v>
      </c>
      <c r="L118" s="368">
        <f>IF(J118="","",IF(VLOOKUP(J118,'G-3 Multipliers'!$L$3:$N$6,3,FALSE)=0,"Spatial Data Missing ⚠",VLOOKUP(J118,'G-3 Multipliers'!$L$3:$N$6,3,FALSE)))</f>
        <v>1</v>
      </c>
      <c r="M118" s="369" t="str">
        <f>IF(D118="","",VLOOKUP(D118,'G-6 Hedgerow Data'!$B$1:$AH$15,33,FALSE))</f>
        <v>Same distinctiveness band or better</v>
      </c>
      <c r="N118" s="376">
        <f t="shared" si="9"/>
        <v>1.1088</v>
      </c>
      <c r="O118" s="32"/>
      <c r="P118" s="122">
        <v>0.2772</v>
      </c>
      <c r="Q118" s="165">
        <v>0</v>
      </c>
      <c r="R118" s="393">
        <f t="shared" si="10"/>
        <v>1.1088</v>
      </c>
      <c r="S118" s="393">
        <f t="shared" si="11"/>
        <v>0</v>
      </c>
      <c r="T118" s="393">
        <f t="shared" si="12"/>
        <v>0</v>
      </c>
      <c r="U118" s="415">
        <f t="shared" si="13"/>
        <v>0</v>
      </c>
      <c r="V118" s="119"/>
      <c r="W118" s="120"/>
      <c r="X118" s="120"/>
      <c r="AE118" s="124" t="b">
        <f t="shared" si="7"/>
        <v>1</v>
      </c>
      <c r="AF118" s="124" t="b">
        <f t="shared" si="8"/>
        <v>0</v>
      </c>
      <c r="AH118" s="124">
        <v>109</v>
      </c>
      <c r="AJ118" s="124">
        <f t="array" ref="AJ118">IFERROR(INDEX($AH$10:$AH$258, MATCH(0, IF(TRUE=$AE$10:$AE$258, COUNTIF($AJ$9:$AJ117, $AH$10:$AH$258), ""), 0)),"")</f>
        <v>132</v>
      </c>
      <c r="AK118" s="124" t="str">
        <f t="array" ref="AK118">IFERROR(INDEX($AH$10:$AH$258, MATCH(0, IF(TRUE=$AF$10:$AF$258, COUNTIF($AK$9:$AK117, $AH$10:$AH$258), ""), 0)),"")</f>
        <v/>
      </c>
      <c r="AL118" s="30" t="str">
        <f>IFERROR(INDEX('G-6 Hedgerow Data'!$BJ$3:$BJ$15,MATCH(D118,'G-6 Hedgerow Data'!$B$3:$B$15,0)),"")</f>
        <v>Hedgecond1</v>
      </c>
    </row>
    <row r="119" spans="2:38" ht="42.75" x14ac:dyDescent="0.2">
      <c r="B119" s="110">
        <v>110</v>
      </c>
      <c r="C119" s="165" t="s">
        <v>1796</v>
      </c>
      <c r="D119" s="165" t="s">
        <v>176</v>
      </c>
      <c r="E119" s="121">
        <v>8.2600000000000007E-2</v>
      </c>
      <c r="F119" s="411" t="str">
        <f>IF(D119="","",VLOOKUP(D119,'G-6 Hedgerow Data'!$B$2:$AG$15,2,FALSE))</f>
        <v>Low</v>
      </c>
      <c r="G119" s="363">
        <f>IF(D119="","",VLOOKUP(D119,'G-6 Hedgerow Data'!$B$2:$AG$15,3,FALSE))</f>
        <v>2</v>
      </c>
      <c r="H119" s="114" t="s">
        <v>67</v>
      </c>
      <c r="I119" s="363">
        <f>IFERROR(VLOOKUP(H119,'G-1 All Habitats'!$Z$2:$AA$9,2,FALSE),"")</f>
        <v>2</v>
      </c>
      <c r="J119" s="114" t="s">
        <v>1037</v>
      </c>
      <c r="K119" s="370" t="str">
        <f>IF(J119="","",IF(VLOOKUP(J119,'G-3 Multipliers'!$L$3:$N$6,2,FALSE)=0,"Spatial Data Missing",VLOOKUP(J119,'G-3 Multipliers'!$L$3:$N$6,2,FALSE)))</f>
        <v>Low Strategic Significance</v>
      </c>
      <c r="L119" s="368">
        <f>IF(J119="","",IF(VLOOKUP(J119,'G-3 Multipliers'!$L$3:$N$6,3,FALSE)=0,"Spatial Data Missing ⚠",VLOOKUP(J119,'G-3 Multipliers'!$L$3:$N$6,3,FALSE)))</f>
        <v>1</v>
      </c>
      <c r="M119" s="369" t="str">
        <f>IF(D119="","",VLOOKUP(D119,'G-6 Hedgerow Data'!$B$1:$AH$15,33,FALSE))</f>
        <v>Same distinctiveness band or better</v>
      </c>
      <c r="N119" s="376">
        <f t="shared" si="9"/>
        <v>0.33040000000000003</v>
      </c>
      <c r="O119" s="32"/>
      <c r="P119" s="122">
        <v>0</v>
      </c>
      <c r="Q119" s="165">
        <v>8.2600000000000007E-2</v>
      </c>
      <c r="R119" s="393">
        <f t="shared" si="10"/>
        <v>0</v>
      </c>
      <c r="S119" s="393">
        <f t="shared" si="11"/>
        <v>0.33040000000000003</v>
      </c>
      <c r="T119" s="393">
        <f t="shared" si="12"/>
        <v>0</v>
      </c>
      <c r="U119" s="415">
        <f t="shared" si="13"/>
        <v>0</v>
      </c>
      <c r="V119" s="119"/>
      <c r="W119" s="120"/>
      <c r="X119" s="120"/>
      <c r="AE119" s="124" t="b">
        <f t="shared" si="7"/>
        <v>0</v>
      </c>
      <c r="AF119" s="124" t="b">
        <f t="shared" si="8"/>
        <v>1</v>
      </c>
      <c r="AH119" s="124">
        <v>110</v>
      </c>
      <c r="AJ119" s="124">
        <f t="array" ref="AJ119">IFERROR(INDEX($AH$10:$AH$258, MATCH(0, IF(TRUE=$AE$10:$AE$258, COUNTIF($AJ$9:$AJ118, $AH$10:$AH$258), ""), 0)),"")</f>
        <v>133</v>
      </c>
      <c r="AK119" s="124" t="str">
        <f t="array" ref="AK119">IFERROR(INDEX($AH$10:$AH$258, MATCH(0, IF(TRUE=$AF$10:$AF$258, COUNTIF($AK$9:$AK118, $AH$10:$AH$258), ""), 0)),"")</f>
        <v/>
      </c>
      <c r="AL119" s="30" t="str">
        <f>IFERROR(INDEX('G-6 Hedgerow Data'!$BJ$3:$BJ$15,MATCH(D119,'G-6 Hedgerow Data'!$B$3:$B$15,0)),"")</f>
        <v>Hedgecond1</v>
      </c>
    </row>
    <row r="120" spans="2:38" ht="42.75" x14ac:dyDescent="0.2">
      <c r="B120" s="110">
        <v>111</v>
      </c>
      <c r="C120" s="165" t="s">
        <v>1797</v>
      </c>
      <c r="D120" s="165" t="s">
        <v>176</v>
      </c>
      <c r="E120" s="121">
        <v>6.1899999999999997E-2</v>
      </c>
      <c r="F120" s="411" t="str">
        <f>IF(D120="","",VLOOKUP(D120,'G-6 Hedgerow Data'!$B$2:$AG$15,2,FALSE))</f>
        <v>Low</v>
      </c>
      <c r="G120" s="363">
        <f>IF(D120="","",VLOOKUP(D120,'G-6 Hedgerow Data'!$B$2:$AG$15,3,FALSE))</f>
        <v>2</v>
      </c>
      <c r="H120" s="114" t="s">
        <v>329</v>
      </c>
      <c r="I120" s="363">
        <f>IFERROR(VLOOKUP(H120,'G-1 All Habitats'!$Z$2:$AA$9,2,FALSE),"")</f>
        <v>1</v>
      </c>
      <c r="J120" s="114" t="s">
        <v>1037</v>
      </c>
      <c r="K120" s="370" t="str">
        <f>IF(J120="","",IF(VLOOKUP(J120,'G-3 Multipliers'!$L$3:$N$6,2,FALSE)=0,"Spatial Data Missing",VLOOKUP(J120,'G-3 Multipliers'!$L$3:$N$6,2,FALSE)))</f>
        <v>Low Strategic Significance</v>
      </c>
      <c r="L120" s="368">
        <f>IF(J120="","",IF(VLOOKUP(J120,'G-3 Multipliers'!$L$3:$N$6,3,FALSE)=0,"Spatial Data Missing ⚠",VLOOKUP(J120,'G-3 Multipliers'!$L$3:$N$6,3,FALSE)))</f>
        <v>1</v>
      </c>
      <c r="M120" s="369" t="str">
        <f>IF(D120="","",VLOOKUP(D120,'G-6 Hedgerow Data'!$B$1:$AH$15,33,FALSE))</f>
        <v>Same distinctiveness band or better</v>
      </c>
      <c r="N120" s="376">
        <f t="shared" si="9"/>
        <v>0.12379999999999999</v>
      </c>
      <c r="O120" s="32"/>
      <c r="P120" s="122">
        <v>0</v>
      </c>
      <c r="Q120" s="165">
        <v>6.1899999999999997E-2</v>
      </c>
      <c r="R120" s="393">
        <f t="shared" si="10"/>
        <v>0</v>
      </c>
      <c r="S120" s="393">
        <f t="shared" si="11"/>
        <v>0.12379999999999999</v>
      </c>
      <c r="T120" s="393">
        <f t="shared" si="12"/>
        <v>0</v>
      </c>
      <c r="U120" s="415">
        <f t="shared" si="13"/>
        <v>0</v>
      </c>
      <c r="V120" s="119"/>
      <c r="W120" s="120"/>
      <c r="X120" s="120"/>
      <c r="AE120" s="124" t="b">
        <f t="shared" si="7"/>
        <v>0</v>
      </c>
      <c r="AF120" s="124" t="b">
        <f t="shared" si="8"/>
        <v>1</v>
      </c>
      <c r="AH120" s="124">
        <v>111</v>
      </c>
      <c r="AJ120" s="124">
        <f t="array" ref="AJ120">IFERROR(INDEX($AH$10:$AH$258, MATCH(0, IF(TRUE=$AE$10:$AE$258, COUNTIF($AJ$9:$AJ119, $AH$10:$AH$258), ""), 0)),"")</f>
        <v>135</v>
      </c>
      <c r="AK120" s="124" t="str">
        <f t="array" ref="AK120">IFERROR(INDEX($AH$10:$AH$258, MATCH(0, IF(TRUE=$AF$10:$AF$258, COUNTIF($AK$9:$AK119, $AH$10:$AH$258), ""), 0)),"")</f>
        <v/>
      </c>
      <c r="AL120" s="30" t="str">
        <f>IFERROR(INDEX('G-6 Hedgerow Data'!$BJ$3:$BJ$15,MATCH(D120,'G-6 Hedgerow Data'!$B$3:$B$15,0)),"")</f>
        <v>Hedgecond1</v>
      </c>
    </row>
    <row r="121" spans="2:38" ht="42.75" x14ac:dyDescent="0.2">
      <c r="B121" s="110">
        <v>112</v>
      </c>
      <c r="C121" s="165" t="s">
        <v>1798</v>
      </c>
      <c r="D121" s="165" t="s">
        <v>171</v>
      </c>
      <c r="E121" s="121">
        <v>0.50560000000000005</v>
      </c>
      <c r="F121" s="411" t="str">
        <f>IF(D121="","",VLOOKUP(D121,'G-6 Hedgerow Data'!$B$2:$AG$15,2,FALSE))</f>
        <v>Medium</v>
      </c>
      <c r="G121" s="363">
        <f>IF(D121="","",VLOOKUP(D121,'G-6 Hedgerow Data'!$B$2:$AG$15,3,FALSE))</f>
        <v>4</v>
      </c>
      <c r="H121" s="114" t="s">
        <v>67</v>
      </c>
      <c r="I121" s="363">
        <f>IFERROR(VLOOKUP(H121,'G-1 All Habitats'!$Z$2:$AA$9,2,FALSE),"")</f>
        <v>2</v>
      </c>
      <c r="J121" s="114" t="s">
        <v>1037</v>
      </c>
      <c r="K121" s="370" t="str">
        <f>IF(J121="","",IF(VLOOKUP(J121,'G-3 Multipliers'!$L$3:$N$6,2,FALSE)=0,"Spatial Data Missing",VLOOKUP(J121,'G-3 Multipliers'!$L$3:$N$6,2,FALSE)))</f>
        <v>Low Strategic Significance</v>
      </c>
      <c r="L121" s="368">
        <f>IF(J121="","",IF(VLOOKUP(J121,'G-3 Multipliers'!$L$3:$N$6,3,FALSE)=0,"Spatial Data Missing ⚠",VLOOKUP(J121,'G-3 Multipliers'!$L$3:$N$6,3,FALSE)))</f>
        <v>1</v>
      </c>
      <c r="M121" s="369" t="str">
        <f>IF(D121="","",VLOOKUP(D121,'G-6 Hedgerow Data'!$B$1:$AH$15,33,FALSE))</f>
        <v>Same distinctiveness band or better</v>
      </c>
      <c r="N121" s="376">
        <f t="shared" si="9"/>
        <v>4.0448000000000004</v>
      </c>
      <c r="O121" s="32"/>
      <c r="P121" s="122">
        <v>0.50560000000000005</v>
      </c>
      <c r="Q121" s="165">
        <v>0</v>
      </c>
      <c r="R121" s="393">
        <f t="shared" si="10"/>
        <v>4.0448000000000004</v>
      </c>
      <c r="S121" s="393">
        <f t="shared" si="11"/>
        <v>0</v>
      </c>
      <c r="T121" s="393">
        <f t="shared" si="12"/>
        <v>0</v>
      </c>
      <c r="U121" s="415">
        <f t="shared" si="13"/>
        <v>0</v>
      </c>
      <c r="V121" s="119"/>
      <c r="W121" s="120"/>
      <c r="X121" s="120"/>
      <c r="AE121" s="124" t="b">
        <f t="shared" si="7"/>
        <v>1</v>
      </c>
      <c r="AF121" s="124" t="b">
        <f t="shared" si="8"/>
        <v>0</v>
      </c>
      <c r="AH121" s="124">
        <v>112</v>
      </c>
      <c r="AJ121" s="124">
        <f t="array" ref="AJ121">IFERROR(INDEX($AH$10:$AH$258, MATCH(0, IF(TRUE=$AE$10:$AE$258, COUNTIF($AJ$9:$AJ120, $AH$10:$AH$258), ""), 0)),"")</f>
        <v>136</v>
      </c>
      <c r="AK121" s="124" t="str">
        <f t="array" ref="AK121">IFERROR(INDEX($AH$10:$AH$258, MATCH(0, IF(TRUE=$AF$10:$AF$258, COUNTIF($AK$9:$AK120, $AH$10:$AH$258), ""), 0)),"")</f>
        <v/>
      </c>
      <c r="AL121" s="30" t="str">
        <f>IFERROR(INDEX('G-6 Hedgerow Data'!$BJ$3:$BJ$15,MATCH(D121,'G-6 Hedgerow Data'!$B$3:$B$15,0)),"")</f>
        <v>Hedgecond1</v>
      </c>
    </row>
    <row r="122" spans="2:38" ht="42.75" x14ac:dyDescent="0.2">
      <c r="B122" s="110">
        <v>113</v>
      </c>
      <c r="C122" s="165" t="s">
        <v>1799</v>
      </c>
      <c r="D122" s="165" t="s">
        <v>176</v>
      </c>
      <c r="E122" s="121">
        <v>0.1598</v>
      </c>
      <c r="F122" s="411" t="str">
        <f>IF(D122="","",VLOOKUP(D122,'G-6 Hedgerow Data'!$B$2:$AG$15,2,FALSE))</f>
        <v>Low</v>
      </c>
      <c r="G122" s="363">
        <f>IF(D122="","",VLOOKUP(D122,'G-6 Hedgerow Data'!$B$2:$AG$15,3,FALSE))</f>
        <v>2</v>
      </c>
      <c r="H122" s="114" t="s">
        <v>68</v>
      </c>
      <c r="I122" s="363">
        <f>IFERROR(VLOOKUP(H122,'G-1 All Habitats'!$Z$2:$AA$9,2,FALSE),"")</f>
        <v>3</v>
      </c>
      <c r="J122" s="114" t="s">
        <v>1029</v>
      </c>
      <c r="K122" s="370" t="str">
        <f>IF(J122="","",IF(VLOOKUP(J122,'G-3 Multipliers'!$L$3:$N$6,2,FALSE)=0,"Spatial Data Missing",VLOOKUP(J122,'G-3 Multipliers'!$L$3:$N$6,2,FALSE)))</f>
        <v xml:space="preserve">High strategic significance </v>
      </c>
      <c r="L122" s="368">
        <f>IF(J122="","",IF(VLOOKUP(J122,'G-3 Multipliers'!$L$3:$N$6,3,FALSE)=0,"Spatial Data Missing ⚠",VLOOKUP(J122,'G-3 Multipliers'!$L$3:$N$6,3,FALSE)))</f>
        <v>1.1499999999999999</v>
      </c>
      <c r="M122" s="369" t="str">
        <f>IF(D122="","",VLOOKUP(D122,'G-6 Hedgerow Data'!$B$1:$AH$15,33,FALSE))</f>
        <v>Same distinctiveness band or better</v>
      </c>
      <c r="N122" s="376">
        <f t="shared" si="9"/>
        <v>1.1026199999999999</v>
      </c>
      <c r="O122" s="32"/>
      <c r="P122" s="122">
        <v>0.1598</v>
      </c>
      <c r="Q122" s="165">
        <v>0</v>
      </c>
      <c r="R122" s="393">
        <f t="shared" si="10"/>
        <v>1.1026199999999999</v>
      </c>
      <c r="S122" s="393">
        <f t="shared" si="11"/>
        <v>0</v>
      </c>
      <c r="T122" s="393">
        <f t="shared" si="12"/>
        <v>0</v>
      </c>
      <c r="U122" s="415">
        <f t="shared" si="13"/>
        <v>0</v>
      </c>
      <c r="V122" s="119"/>
      <c r="W122" s="120"/>
      <c r="X122" s="120"/>
      <c r="AE122" s="124" t="b">
        <f t="shared" si="7"/>
        <v>1</v>
      </c>
      <c r="AF122" s="124" t="b">
        <f t="shared" si="8"/>
        <v>0</v>
      </c>
      <c r="AH122" s="124">
        <v>113</v>
      </c>
      <c r="AJ122" s="124">
        <f t="array" ref="AJ122">IFERROR(INDEX($AH$10:$AH$258, MATCH(0, IF(TRUE=$AE$10:$AE$258, COUNTIF($AJ$9:$AJ121, $AH$10:$AH$258), ""), 0)),"")</f>
        <v>137</v>
      </c>
      <c r="AK122" s="124" t="str">
        <f t="array" ref="AK122">IFERROR(INDEX($AH$10:$AH$258, MATCH(0, IF(TRUE=$AF$10:$AF$258, COUNTIF($AK$9:$AK121, $AH$10:$AH$258), ""), 0)),"")</f>
        <v/>
      </c>
      <c r="AL122" s="30" t="str">
        <f>IFERROR(INDEX('G-6 Hedgerow Data'!$BJ$3:$BJ$15,MATCH(D122,'G-6 Hedgerow Data'!$B$3:$B$15,0)),"")</f>
        <v>Hedgecond1</v>
      </c>
    </row>
    <row r="123" spans="2:38" ht="42.75" x14ac:dyDescent="0.2">
      <c r="B123" s="110">
        <v>114</v>
      </c>
      <c r="C123" s="165" t="s">
        <v>1800</v>
      </c>
      <c r="D123" s="165" t="s">
        <v>173</v>
      </c>
      <c r="E123" s="121">
        <v>0.17910000000000001</v>
      </c>
      <c r="F123" s="411" t="str">
        <f>IF(D123="","",VLOOKUP(D123,'G-6 Hedgerow Data'!$B$2:$AG$15,2,FALSE))</f>
        <v>Medium</v>
      </c>
      <c r="G123" s="363">
        <f>IF(D123="","",VLOOKUP(D123,'G-6 Hedgerow Data'!$B$2:$AG$15,3,FALSE))</f>
        <v>4</v>
      </c>
      <c r="H123" s="114" t="s">
        <v>68</v>
      </c>
      <c r="I123" s="363">
        <f>IFERROR(VLOOKUP(H123,'G-1 All Habitats'!$Z$2:$AA$9,2,FALSE),"")</f>
        <v>3</v>
      </c>
      <c r="J123" s="114" t="s">
        <v>1029</v>
      </c>
      <c r="K123" s="370" t="str">
        <f>IF(J123="","",IF(VLOOKUP(J123,'G-3 Multipliers'!$L$3:$N$6,2,FALSE)=0,"Spatial Data Missing",VLOOKUP(J123,'G-3 Multipliers'!$L$3:$N$6,2,FALSE)))</f>
        <v xml:space="preserve">High strategic significance </v>
      </c>
      <c r="L123" s="368">
        <f>IF(J123="","",IF(VLOOKUP(J123,'G-3 Multipliers'!$L$3:$N$6,3,FALSE)=0,"Spatial Data Missing ⚠",VLOOKUP(J123,'G-3 Multipliers'!$L$3:$N$6,3,FALSE)))</f>
        <v>1.1499999999999999</v>
      </c>
      <c r="M123" s="369" t="str">
        <f>IF(D123="","",VLOOKUP(D123,'G-6 Hedgerow Data'!$B$1:$AH$15,33,FALSE))</f>
        <v>Same distinctiveness band or better</v>
      </c>
      <c r="N123" s="376">
        <f t="shared" si="9"/>
        <v>2.4715799999999999</v>
      </c>
      <c r="O123" s="32"/>
      <c r="P123" s="122">
        <v>0.17910000000000001</v>
      </c>
      <c r="Q123" s="165">
        <v>0</v>
      </c>
      <c r="R123" s="393">
        <f t="shared" si="10"/>
        <v>2.4715799999999999</v>
      </c>
      <c r="S123" s="393">
        <f t="shared" si="11"/>
        <v>0</v>
      </c>
      <c r="T123" s="393">
        <f t="shared" si="12"/>
        <v>0</v>
      </c>
      <c r="U123" s="415">
        <f t="shared" si="13"/>
        <v>0</v>
      </c>
      <c r="V123" s="119"/>
      <c r="W123" s="120"/>
      <c r="X123" s="120"/>
      <c r="AE123" s="124" t="b">
        <f t="shared" si="7"/>
        <v>1</v>
      </c>
      <c r="AF123" s="124" t="b">
        <f t="shared" si="8"/>
        <v>0</v>
      </c>
      <c r="AH123" s="124">
        <v>114</v>
      </c>
      <c r="AJ123" s="124">
        <f t="array" ref="AJ123">IFERROR(INDEX($AH$10:$AH$258, MATCH(0, IF(TRUE=$AE$10:$AE$258, COUNTIF($AJ$9:$AJ122, $AH$10:$AH$258), ""), 0)),"")</f>
        <v>138</v>
      </c>
      <c r="AK123" s="124" t="str">
        <f t="array" ref="AK123">IFERROR(INDEX($AH$10:$AH$258, MATCH(0, IF(TRUE=$AF$10:$AF$258, COUNTIF($AK$9:$AK122, $AH$10:$AH$258), ""), 0)),"")</f>
        <v/>
      </c>
      <c r="AL123" s="30" t="str">
        <f>IFERROR(INDEX('G-6 Hedgerow Data'!$BJ$3:$BJ$15,MATCH(D123,'G-6 Hedgerow Data'!$B$3:$B$15,0)),"")</f>
        <v>Hedgecond1</v>
      </c>
    </row>
    <row r="124" spans="2:38" ht="42.75" x14ac:dyDescent="0.2">
      <c r="B124" s="110">
        <v>115</v>
      </c>
      <c r="C124" s="165" t="s">
        <v>1801</v>
      </c>
      <c r="D124" s="165" t="s">
        <v>176</v>
      </c>
      <c r="E124" s="121">
        <v>3.0700000000000002E-2</v>
      </c>
      <c r="F124" s="411" t="str">
        <f>IF(D124="","",VLOOKUP(D124,'G-6 Hedgerow Data'!$B$2:$AG$15,2,FALSE))</f>
        <v>Low</v>
      </c>
      <c r="G124" s="363">
        <f>IF(D124="","",VLOOKUP(D124,'G-6 Hedgerow Data'!$B$2:$AG$15,3,FALSE))</f>
        <v>2</v>
      </c>
      <c r="H124" s="114" t="s">
        <v>67</v>
      </c>
      <c r="I124" s="363">
        <f>IFERROR(VLOOKUP(H124,'G-1 All Habitats'!$Z$2:$AA$9,2,FALSE),"")</f>
        <v>2</v>
      </c>
      <c r="J124" s="114" t="s">
        <v>1029</v>
      </c>
      <c r="K124" s="370" t="str">
        <f>IF(J124="","",IF(VLOOKUP(J124,'G-3 Multipliers'!$L$3:$N$6,2,FALSE)=0,"Spatial Data Missing",VLOOKUP(J124,'G-3 Multipliers'!$L$3:$N$6,2,FALSE)))</f>
        <v xml:space="preserve">High strategic significance </v>
      </c>
      <c r="L124" s="368">
        <f>IF(J124="","",IF(VLOOKUP(J124,'G-3 Multipliers'!$L$3:$N$6,3,FALSE)=0,"Spatial Data Missing ⚠",VLOOKUP(J124,'G-3 Multipliers'!$L$3:$N$6,3,FALSE)))</f>
        <v>1.1499999999999999</v>
      </c>
      <c r="M124" s="369" t="str">
        <f>IF(D124="","",VLOOKUP(D124,'G-6 Hedgerow Data'!$B$1:$AH$15,33,FALSE))</f>
        <v>Same distinctiveness band or better</v>
      </c>
      <c r="N124" s="376">
        <f t="shared" si="9"/>
        <v>0.14121999999999998</v>
      </c>
      <c r="O124" s="32"/>
      <c r="P124" s="122">
        <v>0</v>
      </c>
      <c r="Q124" s="165">
        <v>3.0700000000000002E-2</v>
      </c>
      <c r="R124" s="393">
        <f t="shared" si="10"/>
        <v>0</v>
      </c>
      <c r="S124" s="393">
        <f t="shared" si="11"/>
        <v>0.14121999999999998</v>
      </c>
      <c r="T124" s="393">
        <f t="shared" si="12"/>
        <v>0</v>
      </c>
      <c r="U124" s="415">
        <f t="shared" si="13"/>
        <v>0</v>
      </c>
      <c r="V124" s="119"/>
      <c r="W124" s="120"/>
      <c r="X124" s="120"/>
      <c r="AE124" s="124" t="b">
        <f t="shared" si="7"/>
        <v>0</v>
      </c>
      <c r="AF124" s="124" t="b">
        <f t="shared" si="8"/>
        <v>1</v>
      </c>
      <c r="AH124" s="124">
        <v>115</v>
      </c>
      <c r="AJ124" s="124">
        <f t="array" ref="AJ124">IFERROR(INDEX($AH$10:$AH$258, MATCH(0, IF(TRUE=$AE$10:$AE$258, COUNTIF($AJ$9:$AJ123, $AH$10:$AH$258), ""), 0)),"")</f>
        <v>139</v>
      </c>
      <c r="AK124" s="124" t="str">
        <f t="array" ref="AK124">IFERROR(INDEX($AH$10:$AH$258, MATCH(0, IF(TRUE=$AF$10:$AF$258, COUNTIF($AK$9:$AK123, $AH$10:$AH$258), ""), 0)),"")</f>
        <v/>
      </c>
      <c r="AL124" s="30" t="str">
        <f>IFERROR(INDEX('G-6 Hedgerow Data'!$BJ$3:$BJ$15,MATCH(D124,'G-6 Hedgerow Data'!$B$3:$B$15,0)),"")</f>
        <v>Hedgecond1</v>
      </c>
    </row>
    <row r="125" spans="2:38" ht="42.75" x14ac:dyDescent="0.2">
      <c r="B125" s="110">
        <v>116</v>
      </c>
      <c r="C125" s="165" t="s">
        <v>1802</v>
      </c>
      <c r="D125" s="165" t="s">
        <v>171</v>
      </c>
      <c r="E125" s="121">
        <v>0.2772</v>
      </c>
      <c r="F125" s="411" t="str">
        <f>IF(D125="","",VLOOKUP(D125,'G-6 Hedgerow Data'!$B$2:$AG$15,2,FALSE))</f>
        <v>Medium</v>
      </c>
      <c r="G125" s="363">
        <f>IF(D125="","",VLOOKUP(D125,'G-6 Hedgerow Data'!$B$2:$AG$15,3,FALSE))</f>
        <v>4</v>
      </c>
      <c r="H125" s="114" t="s">
        <v>68</v>
      </c>
      <c r="I125" s="363">
        <f>IFERROR(VLOOKUP(H125,'G-1 All Habitats'!$Z$2:$AA$9,2,FALSE),"")</f>
        <v>3</v>
      </c>
      <c r="J125" s="114" t="s">
        <v>1037</v>
      </c>
      <c r="K125" s="370" t="str">
        <f>IF(J125="","",IF(VLOOKUP(J125,'G-3 Multipliers'!$L$3:$N$6,2,FALSE)=0,"Spatial Data Missing",VLOOKUP(J125,'G-3 Multipliers'!$L$3:$N$6,2,FALSE)))</f>
        <v>Low Strategic Significance</v>
      </c>
      <c r="L125" s="368">
        <f>IF(J125="","",IF(VLOOKUP(J125,'G-3 Multipliers'!$L$3:$N$6,3,FALSE)=0,"Spatial Data Missing ⚠",VLOOKUP(J125,'G-3 Multipliers'!$L$3:$N$6,3,FALSE)))</f>
        <v>1</v>
      </c>
      <c r="M125" s="369" t="str">
        <f>IF(D125="","",VLOOKUP(D125,'G-6 Hedgerow Data'!$B$1:$AH$15,33,FALSE))</f>
        <v>Same distinctiveness band or better</v>
      </c>
      <c r="N125" s="376">
        <f t="shared" si="9"/>
        <v>3.3264</v>
      </c>
      <c r="O125" s="32"/>
      <c r="P125" s="122">
        <v>3.1600000000000003E-2</v>
      </c>
      <c r="Q125" s="165">
        <v>0.24399999999999999</v>
      </c>
      <c r="R125" s="393">
        <f t="shared" si="10"/>
        <v>0.37920000000000004</v>
      </c>
      <c r="S125" s="393">
        <f t="shared" si="11"/>
        <v>2.9279999999999999</v>
      </c>
      <c r="T125" s="393">
        <f t="shared" si="12"/>
        <v>1.5999999999999903E-3</v>
      </c>
      <c r="U125" s="415">
        <f t="shared" si="13"/>
        <v>1.9200000000000106E-2</v>
      </c>
      <c r="V125" s="119" t="s">
        <v>1955</v>
      </c>
      <c r="W125" s="120"/>
      <c r="X125" s="120"/>
      <c r="AE125" s="124" t="b">
        <f t="shared" si="7"/>
        <v>1</v>
      </c>
      <c r="AF125" s="124" t="b">
        <f t="shared" si="8"/>
        <v>1</v>
      </c>
      <c r="AH125" s="124">
        <v>116</v>
      </c>
      <c r="AJ125" s="124">
        <f t="array" ref="AJ125">IFERROR(INDEX($AH$10:$AH$258, MATCH(0, IF(TRUE=$AE$10:$AE$258, COUNTIF($AJ$9:$AJ124, $AH$10:$AH$258), ""), 0)),"")</f>
        <v>140</v>
      </c>
      <c r="AK125" s="124" t="str">
        <f t="array" ref="AK125">IFERROR(INDEX($AH$10:$AH$258, MATCH(0, IF(TRUE=$AF$10:$AF$258, COUNTIF($AK$9:$AK124, $AH$10:$AH$258), ""), 0)),"")</f>
        <v/>
      </c>
      <c r="AL125" s="30" t="str">
        <f>IFERROR(INDEX('G-6 Hedgerow Data'!$BJ$3:$BJ$15,MATCH(D125,'G-6 Hedgerow Data'!$B$3:$B$15,0)),"")</f>
        <v>Hedgecond1</v>
      </c>
    </row>
    <row r="126" spans="2:38" ht="42.75" x14ac:dyDescent="0.2">
      <c r="B126" s="110">
        <v>117</v>
      </c>
      <c r="C126" s="165" t="s">
        <v>1803</v>
      </c>
      <c r="D126" s="165" t="s">
        <v>176</v>
      </c>
      <c r="E126" s="121">
        <v>0.44840000000000002</v>
      </c>
      <c r="F126" s="411" t="str">
        <f>IF(D126="","",VLOOKUP(D126,'G-6 Hedgerow Data'!$B$2:$AG$15,2,FALSE))</f>
        <v>Low</v>
      </c>
      <c r="G126" s="363">
        <f>IF(D126="","",VLOOKUP(D126,'G-6 Hedgerow Data'!$B$2:$AG$15,3,FALSE))</f>
        <v>2</v>
      </c>
      <c r="H126" s="114" t="s">
        <v>68</v>
      </c>
      <c r="I126" s="363">
        <f>IFERROR(VLOOKUP(H126,'G-1 All Habitats'!$Z$2:$AA$9,2,FALSE),"")</f>
        <v>3</v>
      </c>
      <c r="J126" s="114" t="s">
        <v>1037</v>
      </c>
      <c r="K126" s="370" t="str">
        <f>IF(J126="","",IF(VLOOKUP(J126,'G-3 Multipliers'!$L$3:$N$6,2,FALSE)=0,"Spatial Data Missing",VLOOKUP(J126,'G-3 Multipliers'!$L$3:$N$6,2,FALSE)))</f>
        <v>Low Strategic Significance</v>
      </c>
      <c r="L126" s="368">
        <f>IF(J126="","",IF(VLOOKUP(J126,'G-3 Multipliers'!$L$3:$N$6,3,FALSE)=0,"Spatial Data Missing ⚠",VLOOKUP(J126,'G-3 Multipliers'!$L$3:$N$6,3,FALSE)))</f>
        <v>1</v>
      </c>
      <c r="M126" s="369" t="str">
        <f>IF(D126="","",VLOOKUP(D126,'G-6 Hedgerow Data'!$B$1:$AH$15,33,FALSE))</f>
        <v>Same distinctiveness band or better</v>
      </c>
      <c r="N126" s="376">
        <f t="shared" si="9"/>
        <v>2.6904000000000003</v>
      </c>
      <c r="O126" s="32"/>
      <c r="P126" s="122">
        <v>6.4600000000000005E-2</v>
      </c>
      <c r="Q126" s="165">
        <v>0.38379999999999997</v>
      </c>
      <c r="R126" s="393">
        <f t="shared" si="10"/>
        <v>0.38760000000000006</v>
      </c>
      <c r="S126" s="393">
        <f t="shared" si="11"/>
        <v>2.3028</v>
      </c>
      <c r="T126" s="393">
        <f t="shared" si="12"/>
        <v>5.5511151231257827E-17</v>
      </c>
      <c r="U126" s="415">
        <f t="shared" si="13"/>
        <v>4.4408920985006262E-16</v>
      </c>
      <c r="V126" s="119"/>
      <c r="W126" s="120"/>
      <c r="X126" s="120"/>
      <c r="AE126" s="124" t="b">
        <f t="shared" si="7"/>
        <v>1</v>
      </c>
      <c r="AF126" s="124" t="b">
        <f t="shared" si="8"/>
        <v>1</v>
      </c>
      <c r="AH126" s="124">
        <v>117</v>
      </c>
      <c r="AJ126" s="124">
        <f t="array" ref="AJ126">IFERROR(INDEX($AH$10:$AH$258, MATCH(0, IF(TRUE=$AE$10:$AE$258, COUNTIF($AJ$9:$AJ125, $AH$10:$AH$258), ""), 0)),"")</f>
        <v>141</v>
      </c>
      <c r="AK126" s="124" t="str">
        <f t="array" ref="AK126">IFERROR(INDEX($AH$10:$AH$258, MATCH(0, IF(TRUE=$AF$10:$AF$258, COUNTIF($AK$9:$AK125, $AH$10:$AH$258), ""), 0)),"")</f>
        <v/>
      </c>
      <c r="AL126" s="30" t="str">
        <f>IFERROR(INDEX('G-6 Hedgerow Data'!$BJ$3:$BJ$15,MATCH(D126,'G-6 Hedgerow Data'!$B$3:$B$15,0)),"")</f>
        <v>Hedgecond1</v>
      </c>
    </row>
    <row r="127" spans="2:38" ht="28.5" x14ac:dyDescent="0.2">
      <c r="B127" s="110">
        <v>118</v>
      </c>
      <c r="C127" s="165" t="s">
        <v>1804</v>
      </c>
      <c r="D127" s="165" t="s">
        <v>168</v>
      </c>
      <c r="E127" s="121">
        <v>0.3821</v>
      </c>
      <c r="F127" s="411" t="str">
        <f>IF(D127="","",VLOOKUP(D127,'G-6 Hedgerow Data'!$B$2:$AG$15,2,FALSE))</f>
        <v>High</v>
      </c>
      <c r="G127" s="363">
        <f>IF(D127="","",VLOOKUP(D127,'G-6 Hedgerow Data'!$B$2:$AG$15,3,FALSE))</f>
        <v>6</v>
      </c>
      <c r="H127" s="114" t="s">
        <v>68</v>
      </c>
      <c r="I127" s="363">
        <f>IFERROR(VLOOKUP(H127,'G-1 All Habitats'!$Z$2:$AA$9,2,FALSE),"")</f>
        <v>3</v>
      </c>
      <c r="J127" s="114" t="s">
        <v>1037</v>
      </c>
      <c r="K127" s="370" t="str">
        <f>IF(J127="","",IF(VLOOKUP(J127,'G-3 Multipliers'!$L$3:$N$6,2,FALSE)=0,"Spatial Data Missing",VLOOKUP(J127,'G-3 Multipliers'!$L$3:$N$6,2,FALSE)))</f>
        <v>Low Strategic Significance</v>
      </c>
      <c r="L127" s="368">
        <f>IF(J127="","",IF(VLOOKUP(J127,'G-3 Multipliers'!$L$3:$N$6,3,FALSE)=0,"Spatial Data Missing ⚠",VLOOKUP(J127,'G-3 Multipliers'!$L$3:$N$6,3,FALSE)))</f>
        <v>1</v>
      </c>
      <c r="M127" s="369" t="str">
        <f>IF(D127="","",VLOOKUP(D127,'G-6 Hedgerow Data'!$B$1:$AH$15,33,FALSE))</f>
        <v>Like for like or better</v>
      </c>
      <c r="N127" s="376">
        <f t="shared" si="9"/>
        <v>6.8778000000000006</v>
      </c>
      <c r="O127" s="32"/>
      <c r="P127" s="122">
        <v>0.3821</v>
      </c>
      <c r="Q127" s="165">
        <v>0</v>
      </c>
      <c r="R127" s="393">
        <f t="shared" si="10"/>
        <v>6.8778000000000006</v>
      </c>
      <c r="S127" s="393">
        <f t="shared" si="11"/>
        <v>0</v>
      </c>
      <c r="T127" s="393">
        <f t="shared" si="12"/>
        <v>0</v>
      </c>
      <c r="U127" s="415">
        <f t="shared" si="13"/>
        <v>0</v>
      </c>
      <c r="V127" s="119"/>
      <c r="W127" s="120"/>
      <c r="X127" s="120"/>
      <c r="AE127" s="124" t="b">
        <f t="shared" si="7"/>
        <v>1</v>
      </c>
      <c r="AF127" s="124" t="b">
        <f t="shared" si="8"/>
        <v>0</v>
      </c>
      <c r="AH127" s="124">
        <v>118</v>
      </c>
      <c r="AJ127" s="124">
        <f t="array" ref="AJ127">IFERROR(INDEX($AH$10:$AH$258, MATCH(0, IF(TRUE=$AE$10:$AE$258, COUNTIF($AJ$9:$AJ126, $AH$10:$AH$258), ""), 0)),"")</f>
        <v>142</v>
      </c>
      <c r="AK127" s="124" t="str">
        <f t="array" ref="AK127">IFERROR(INDEX($AH$10:$AH$258, MATCH(0, IF(TRUE=$AF$10:$AF$258, COUNTIF($AK$9:$AK126, $AH$10:$AH$258), ""), 0)),"")</f>
        <v/>
      </c>
      <c r="AL127" s="30" t="str">
        <f>IFERROR(INDEX('G-6 Hedgerow Data'!$BJ$3:$BJ$15,MATCH(D127,'G-6 Hedgerow Data'!$B$3:$B$15,0)),"")</f>
        <v>Hedgecond1</v>
      </c>
    </row>
    <row r="128" spans="2:38" ht="42.75" x14ac:dyDescent="0.2">
      <c r="B128" s="110">
        <v>119</v>
      </c>
      <c r="C128" s="165" t="s">
        <v>1805</v>
      </c>
      <c r="D128" s="165" t="s">
        <v>173</v>
      </c>
      <c r="E128" s="121">
        <v>7.7100000000000002E-2</v>
      </c>
      <c r="F128" s="411" t="str">
        <f>IF(D128="","",VLOOKUP(D128,'G-6 Hedgerow Data'!$B$2:$AG$15,2,FALSE))</f>
        <v>Medium</v>
      </c>
      <c r="G128" s="363">
        <f>IF(D128="","",VLOOKUP(D128,'G-6 Hedgerow Data'!$B$2:$AG$15,3,FALSE))</f>
        <v>4</v>
      </c>
      <c r="H128" s="114" t="s">
        <v>67</v>
      </c>
      <c r="I128" s="363">
        <f>IFERROR(VLOOKUP(H128,'G-1 All Habitats'!$Z$2:$AA$9,2,FALSE),"")</f>
        <v>2</v>
      </c>
      <c r="J128" s="114" t="s">
        <v>1037</v>
      </c>
      <c r="K128" s="370" t="str">
        <f>IF(J128="","",IF(VLOOKUP(J128,'G-3 Multipliers'!$L$3:$N$6,2,FALSE)=0,"Spatial Data Missing",VLOOKUP(J128,'G-3 Multipliers'!$L$3:$N$6,2,FALSE)))</f>
        <v>Low Strategic Significance</v>
      </c>
      <c r="L128" s="368">
        <f>IF(J128="","",IF(VLOOKUP(J128,'G-3 Multipliers'!$L$3:$N$6,3,FALSE)=0,"Spatial Data Missing ⚠",VLOOKUP(J128,'G-3 Multipliers'!$L$3:$N$6,3,FALSE)))</f>
        <v>1</v>
      </c>
      <c r="M128" s="369" t="str">
        <f>IF(D128="","",VLOOKUP(D128,'G-6 Hedgerow Data'!$B$1:$AH$15,33,FALSE))</f>
        <v>Same distinctiveness band or better</v>
      </c>
      <c r="N128" s="376">
        <f t="shared" si="9"/>
        <v>0.61680000000000001</v>
      </c>
      <c r="O128" s="32"/>
      <c r="P128" s="122">
        <v>0</v>
      </c>
      <c r="Q128" s="165">
        <v>7.7100000000000002E-2</v>
      </c>
      <c r="R128" s="393">
        <f t="shared" si="10"/>
        <v>0</v>
      </c>
      <c r="S128" s="393">
        <f t="shared" si="11"/>
        <v>0.61680000000000001</v>
      </c>
      <c r="T128" s="393">
        <f t="shared" si="12"/>
        <v>0</v>
      </c>
      <c r="U128" s="415">
        <f t="shared" si="13"/>
        <v>0</v>
      </c>
      <c r="V128" s="119"/>
      <c r="W128" s="120"/>
      <c r="X128" s="120"/>
      <c r="AE128" s="124" t="b">
        <f t="shared" si="7"/>
        <v>0</v>
      </c>
      <c r="AF128" s="124" t="b">
        <f t="shared" si="8"/>
        <v>1</v>
      </c>
      <c r="AH128" s="124">
        <v>119</v>
      </c>
      <c r="AJ128" s="124">
        <f t="array" ref="AJ128">IFERROR(INDEX($AH$10:$AH$258, MATCH(0, IF(TRUE=$AE$10:$AE$258, COUNTIF($AJ$9:$AJ127, $AH$10:$AH$258), ""), 0)),"")</f>
        <v>143</v>
      </c>
      <c r="AK128" s="124" t="str">
        <f t="array" ref="AK128">IFERROR(INDEX($AH$10:$AH$258, MATCH(0, IF(TRUE=$AF$10:$AF$258, COUNTIF($AK$9:$AK127, $AH$10:$AH$258), ""), 0)),"")</f>
        <v/>
      </c>
      <c r="AL128" s="30" t="str">
        <f>IFERROR(INDEX('G-6 Hedgerow Data'!$BJ$3:$BJ$15,MATCH(D128,'G-6 Hedgerow Data'!$B$3:$B$15,0)),"")</f>
        <v>Hedgecond1</v>
      </c>
    </row>
    <row r="129" spans="2:38" ht="42.75" x14ac:dyDescent="0.2">
      <c r="B129" s="110">
        <v>120</v>
      </c>
      <c r="C129" s="165" t="s">
        <v>1806</v>
      </c>
      <c r="D129" s="165" t="s">
        <v>173</v>
      </c>
      <c r="E129" s="121">
        <v>0.14979999999999999</v>
      </c>
      <c r="F129" s="411" t="str">
        <f>IF(D129="","",VLOOKUP(D129,'G-6 Hedgerow Data'!$B$2:$AG$15,2,FALSE))</f>
        <v>Medium</v>
      </c>
      <c r="G129" s="363">
        <f>IF(D129="","",VLOOKUP(D129,'G-6 Hedgerow Data'!$B$2:$AG$15,3,FALSE))</f>
        <v>4</v>
      </c>
      <c r="H129" s="114" t="s">
        <v>67</v>
      </c>
      <c r="I129" s="363">
        <f>IFERROR(VLOOKUP(H129,'G-1 All Habitats'!$Z$2:$AA$9,2,FALSE),"")</f>
        <v>2</v>
      </c>
      <c r="J129" s="114" t="s">
        <v>1037</v>
      </c>
      <c r="K129" s="370" t="str">
        <f>IF(J129="","",IF(VLOOKUP(J129,'G-3 Multipliers'!$L$3:$N$6,2,FALSE)=0,"Spatial Data Missing",VLOOKUP(J129,'G-3 Multipliers'!$L$3:$N$6,2,FALSE)))</f>
        <v>Low Strategic Significance</v>
      </c>
      <c r="L129" s="368">
        <f>IF(J129="","",IF(VLOOKUP(J129,'G-3 Multipliers'!$L$3:$N$6,3,FALSE)=0,"Spatial Data Missing ⚠",VLOOKUP(J129,'G-3 Multipliers'!$L$3:$N$6,3,FALSE)))</f>
        <v>1</v>
      </c>
      <c r="M129" s="369" t="str">
        <f>IF(D129="","",VLOOKUP(D129,'G-6 Hedgerow Data'!$B$1:$AH$15,33,FALSE))</f>
        <v>Same distinctiveness band or better</v>
      </c>
      <c r="N129" s="376">
        <f t="shared" si="9"/>
        <v>1.1983999999999999</v>
      </c>
      <c r="O129" s="32"/>
      <c r="P129" s="122">
        <v>0</v>
      </c>
      <c r="Q129" s="165">
        <v>0.14979999999999999</v>
      </c>
      <c r="R129" s="393">
        <f t="shared" si="10"/>
        <v>0</v>
      </c>
      <c r="S129" s="393">
        <f t="shared" si="11"/>
        <v>1.1983999999999999</v>
      </c>
      <c r="T129" s="393">
        <f t="shared" si="12"/>
        <v>0</v>
      </c>
      <c r="U129" s="415">
        <f t="shared" si="13"/>
        <v>0</v>
      </c>
      <c r="V129" s="119"/>
      <c r="W129" s="120"/>
      <c r="X129" s="120"/>
      <c r="AE129" s="124" t="b">
        <f t="shared" si="7"/>
        <v>0</v>
      </c>
      <c r="AF129" s="124" t="b">
        <f t="shared" si="8"/>
        <v>1</v>
      </c>
      <c r="AH129" s="124">
        <v>120</v>
      </c>
      <c r="AJ129" s="124">
        <f t="array" ref="AJ129">IFERROR(INDEX($AH$10:$AH$258, MATCH(0, IF(TRUE=$AE$10:$AE$258, COUNTIF($AJ$9:$AJ128, $AH$10:$AH$258), ""), 0)),"")</f>
        <v>144</v>
      </c>
      <c r="AK129" s="124" t="str">
        <f t="array" ref="AK129">IFERROR(INDEX($AH$10:$AH$258, MATCH(0, IF(TRUE=$AF$10:$AF$258, COUNTIF($AK$9:$AK128, $AH$10:$AH$258), ""), 0)),"")</f>
        <v/>
      </c>
      <c r="AL129" s="30" t="str">
        <f>IFERROR(INDEX('G-6 Hedgerow Data'!$BJ$3:$BJ$15,MATCH(D129,'G-6 Hedgerow Data'!$B$3:$B$15,0)),"")</f>
        <v>Hedgecond1</v>
      </c>
    </row>
    <row r="130" spans="2:38" ht="42.75" x14ac:dyDescent="0.2">
      <c r="B130" s="110">
        <v>121</v>
      </c>
      <c r="C130" s="165" t="s">
        <v>1807</v>
      </c>
      <c r="D130" s="165" t="s">
        <v>176</v>
      </c>
      <c r="E130" s="121">
        <v>1.2256</v>
      </c>
      <c r="F130" s="411" t="str">
        <f>IF(D130="","",VLOOKUP(D130,'G-6 Hedgerow Data'!$B$2:$AG$15,2,FALSE))</f>
        <v>Low</v>
      </c>
      <c r="G130" s="363">
        <f>IF(D130="","",VLOOKUP(D130,'G-6 Hedgerow Data'!$B$2:$AG$15,3,FALSE))</f>
        <v>2</v>
      </c>
      <c r="H130" s="114" t="s">
        <v>68</v>
      </c>
      <c r="I130" s="363">
        <f>IFERROR(VLOOKUP(H130,'G-1 All Habitats'!$Z$2:$AA$9,2,FALSE),"")</f>
        <v>3</v>
      </c>
      <c r="J130" s="114" t="s">
        <v>1037</v>
      </c>
      <c r="K130" s="370" t="str">
        <f>IF(J130="","",IF(VLOOKUP(J130,'G-3 Multipliers'!$L$3:$N$6,2,FALSE)=0,"Spatial Data Missing",VLOOKUP(J130,'G-3 Multipliers'!$L$3:$N$6,2,FALSE)))</f>
        <v>Low Strategic Significance</v>
      </c>
      <c r="L130" s="368">
        <f>IF(J130="","",IF(VLOOKUP(J130,'G-3 Multipliers'!$L$3:$N$6,3,FALSE)=0,"Spatial Data Missing ⚠",VLOOKUP(J130,'G-3 Multipliers'!$L$3:$N$6,3,FALSE)))</f>
        <v>1</v>
      </c>
      <c r="M130" s="369" t="str">
        <f>IF(D130="","",VLOOKUP(D130,'G-6 Hedgerow Data'!$B$1:$AH$15,33,FALSE))</f>
        <v>Same distinctiveness band or better</v>
      </c>
      <c r="N130" s="376">
        <f t="shared" si="9"/>
        <v>7.3536000000000001</v>
      </c>
      <c r="O130" s="32"/>
      <c r="P130" s="122">
        <v>0.36580000000000001</v>
      </c>
      <c r="Q130" s="165">
        <v>0.85980000000000001</v>
      </c>
      <c r="R130" s="393">
        <f t="shared" si="10"/>
        <v>2.1947999999999999</v>
      </c>
      <c r="S130" s="393">
        <f t="shared" si="11"/>
        <v>5.1588000000000003</v>
      </c>
      <c r="T130" s="393">
        <f t="shared" si="12"/>
        <v>0</v>
      </c>
      <c r="U130" s="415">
        <f t="shared" si="13"/>
        <v>0</v>
      </c>
      <c r="V130" s="119"/>
      <c r="W130" s="120"/>
      <c r="X130" s="120"/>
      <c r="AE130" s="124" t="b">
        <f t="shared" si="7"/>
        <v>1</v>
      </c>
      <c r="AF130" s="124" t="b">
        <f t="shared" si="8"/>
        <v>1</v>
      </c>
      <c r="AH130" s="124">
        <v>121</v>
      </c>
      <c r="AJ130" s="124">
        <f t="array" ref="AJ130">IFERROR(INDEX($AH$10:$AH$258, MATCH(0, IF(TRUE=$AE$10:$AE$258, COUNTIF($AJ$9:$AJ129, $AH$10:$AH$258), ""), 0)),"")</f>
        <v>145</v>
      </c>
      <c r="AK130" s="124" t="str">
        <f t="array" ref="AK130">IFERROR(INDEX($AH$10:$AH$258, MATCH(0, IF(TRUE=$AF$10:$AF$258, COUNTIF($AK$9:$AK129, $AH$10:$AH$258), ""), 0)),"")</f>
        <v/>
      </c>
      <c r="AL130" s="30" t="str">
        <f>IFERROR(INDEX('G-6 Hedgerow Data'!$BJ$3:$BJ$15,MATCH(D130,'G-6 Hedgerow Data'!$B$3:$B$15,0)),"")</f>
        <v>Hedgecond1</v>
      </c>
    </row>
    <row r="131" spans="2:38" ht="42.75" x14ac:dyDescent="0.2">
      <c r="B131" s="110">
        <v>122</v>
      </c>
      <c r="C131" s="165" t="s">
        <v>1808</v>
      </c>
      <c r="D131" s="165" t="s">
        <v>176</v>
      </c>
      <c r="E131" s="121">
        <v>0.40279999999999999</v>
      </c>
      <c r="F131" s="411" t="str">
        <f>IF(D131="","",VLOOKUP(D131,'G-6 Hedgerow Data'!$B$2:$AG$15,2,FALSE))</f>
        <v>Low</v>
      </c>
      <c r="G131" s="363">
        <f>IF(D131="","",VLOOKUP(D131,'G-6 Hedgerow Data'!$B$2:$AG$15,3,FALSE))</f>
        <v>2</v>
      </c>
      <c r="H131" s="114" t="s">
        <v>68</v>
      </c>
      <c r="I131" s="363">
        <f>IFERROR(VLOOKUP(H131,'G-1 All Habitats'!$Z$2:$AA$9,2,FALSE),"")</f>
        <v>3</v>
      </c>
      <c r="J131" s="114" t="s">
        <v>1037</v>
      </c>
      <c r="K131" s="370" t="str">
        <f>IF(J131="","",IF(VLOOKUP(J131,'G-3 Multipliers'!$L$3:$N$6,2,FALSE)=0,"Spatial Data Missing",VLOOKUP(J131,'G-3 Multipliers'!$L$3:$N$6,2,FALSE)))</f>
        <v>Low Strategic Significance</v>
      </c>
      <c r="L131" s="368">
        <f>IF(J131="","",IF(VLOOKUP(J131,'G-3 Multipliers'!$L$3:$N$6,3,FALSE)=0,"Spatial Data Missing ⚠",VLOOKUP(J131,'G-3 Multipliers'!$L$3:$N$6,3,FALSE)))</f>
        <v>1</v>
      </c>
      <c r="M131" s="369" t="str">
        <f>IF(D131="","",VLOOKUP(D131,'G-6 Hedgerow Data'!$B$1:$AH$15,33,FALSE))</f>
        <v>Same distinctiveness band or better</v>
      </c>
      <c r="N131" s="376">
        <f t="shared" si="9"/>
        <v>2.4167999999999998</v>
      </c>
      <c r="O131" s="32"/>
      <c r="P131" s="122">
        <v>0.34429999999999999</v>
      </c>
      <c r="Q131" s="165">
        <v>0</v>
      </c>
      <c r="R131" s="393">
        <f t="shared" si="10"/>
        <v>2.0657999999999999</v>
      </c>
      <c r="S131" s="393">
        <f t="shared" si="11"/>
        <v>0</v>
      </c>
      <c r="T131" s="393">
        <f t="shared" si="12"/>
        <v>5.8499999999999996E-2</v>
      </c>
      <c r="U131" s="415">
        <f t="shared" si="13"/>
        <v>0.35099999999999998</v>
      </c>
      <c r="V131" s="119" t="s">
        <v>1956</v>
      </c>
      <c r="W131" s="120"/>
      <c r="X131" s="120"/>
      <c r="AE131" s="124" t="b">
        <f t="shared" si="7"/>
        <v>1</v>
      </c>
      <c r="AF131" s="124" t="b">
        <f t="shared" si="8"/>
        <v>0</v>
      </c>
      <c r="AH131" s="124">
        <v>122</v>
      </c>
      <c r="AJ131" s="124">
        <f t="array" ref="AJ131">IFERROR(INDEX($AH$10:$AH$258, MATCH(0, IF(TRUE=$AE$10:$AE$258, COUNTIF($AJ$9:$AJ130, $AH$10:$AH$258), ""), 0)),"")</f>
        <v>146</v>
      </c>
      <c r="AK131" s="124" t="str">
        <f t="array" ref="AK131">IFERROR(INDEX($AH$10:$AH$258, MATCH(0, IF(TRUE=$AF$10:$AF$258, COUNTIF($AK$9:$AK130, $AH$10:$AH$258), ""), 0)),"")</f>
        <v/>
      </c>
      <c r="AL131" s="30" t="str">
        <f>IFERROR(INDEX('G-6 Hedgerow Data'!$BJ$3:$BJ$15,MATCH(D131,'G-6 Hedgerow Data'!$B$3:$B$15,0)),"")</f>
        <v>Hedgecond1</v>
      </c>
    </row>
    <row r="132" spans="2:38" ht="42.75" x14ac:dyDescent="0.2">
      <c r="B132" s="110">
        <v>123</v>
      </c>
      <c r="C132" s="165" t="s">
        <v>1809</v>
      </c>
      <c r="D132" s="165" t="s">
        <v>176</v>
      </c>
      <c r="E132" s="121">
        <v>6.9900000000000004E-2</v>
      </c>
      <c r="F132" s="411" t="str">
        <f>IF(D132="","",VLOOKUP(D132,'G-6 Hedgerow Data'!$B$2:$AG$15,2,FALSE))</f>
        <v>Low</v>
      </c>
      <c r="G132" s="363">
        <f>IF(D132="","",VLOOKUP(D132,'G-6 Hedgerow Data'!$B$2:$AG$15,3,FALSE))</f>
        <v>2</v>
      </c>
      <c r="H132" s="114" t="s">
        <v>68</v>
      </c>
      <c r="I132" s="363">
        <f>IFERROR(VLOOKUP(H132,'G-1 All Habitats'!$Z$2:$AA$9,2,FALSE),"")</f>
        <v>3</v>
      </c>
      <c r="J132" s="114" t="s">
        <v>1037</v>
      </c>
      <c r="K132" s="370" t="str">
        <f>IF(J132="","",IF(VLOOKUP(J132,'G-3 Multipliers'!$L$3:$N$6,2,FALSE)=0,"Spatial Data Missing",VLOOKUP(J132,'G-3 Multipliers'!$L$3:$N$6,2,FALSE)))</f>
        <v>Low Strategic Significance</v>
      </c>
      <c r="L132" s="368">
        <f>IF(J132="","",IF(VLOOKUP(J132,'G-3 Multipliers'!$L$3:$N$6,3,FALSE)=0,"Spatial Data Missing ⚠",VLOOKUP(J132,'G-3 Multipliers'!$L$3:$N$6,3,FALSE)))</f>
        <v>1</v>
      </c>
      <c r="M132" s="369" t="str">
        <f>IF(D132="","",VLOOKUP(D132,'G-6 Hedgerow Data'!$B$1:$AH$15,33,FALSE))</f>
        <v>Same distinctiveness band or better</v>
      </c>
      <c r="N132" s="376">
        <f t="shared" si="9"/>
        <v>0.4194</v>
      </c>
      <c r="O132" s="32"/>
      <c r="P132" s="122">
        <v>6.9900000000000004E-2</v>
      </c>
      <c r="Q132" s="165">
        <v>0</v>
      </c>
      <c r="R132" s="393">
        <f t="shared" si="10"/>
        <v>0.4194</v>
      </c>
      <c r="S132" s="393">
        <f t="shared" si="11"/>
        <v>0</v>
      </c>
      <c r="T132" s="393">
        <f t="shared" si="12"/>
        <v>0</v>
      </c>
      <c r="U132" s="415">
        <f t="shared" si="13"/>
        <v>0</v>
      </c>
      <c r="V132" s="119"/>
      <c r="W132" s="120"/>
      <c r="X132" s="120"/>
      <c r="AE132" s="124" t="b">
        <f t="shared" si="7"/>
        <v>1</v>
      </c>
      <c r="AF132" s="124" t="b">
        <f t="shared" si="8"/>
        <v>0</v>
      </c>
      <c r="AH132" s="124">
        <v>123</v>
      </c>
      <c r="AJ132" s="124">
        <f t="array" ref="AJ132">IFERROR(INDEX($AH$10:$AH$258, MATCH(0, IF(TRUE=$AE$10:$AE$258, COUNTIF($AJ$9:$AJ131, $AH$10:$AH$258), ""), 0)),"")</f>
        <v>147</v>
      </c>
      <c r="AK132" s="124" t="str">
        <f t="array" ref="AK132">IFERROR(INDEX($AH$10:$AH$258, MATCH(0, IF(TRUE=$AF$10:$AF$258, COUNTIF($AK$9:$AK131, $AH$10:$AH$258), ""), 0)),"")</f>
        <v/>
      </c>
      <c r="AL132" s="30" t="str">
        <f>IFERROR(INDEX('G-6 Hedgerow Data'!$BJ$3:$BJ$15,MATCH(D132,'G-6 Hedgerow Data'!$B$3:$B$15,0)),"")</f>
        <v>Hedgecond1</v>
      </c>
    </row>
    <row r="133" spans="2:38" ht="28.5" x14ac:dyDescent="0.2">
      <c r="B133" s="110">
        <v>124</v>
      </c>
      <c r="C133" s="165" t="s">
        <v>1810</v>
      </c>
      <c r="D133" s="165" t="s">
        <v>168</v>
      </c>
      <c r="E133" s="121">
        <v>0.66410000000000002</v>
      </c>
      <c r="F133" s="411" t="str">
        <f>IF(D133="","",VLOOKUP(D133,'G-6 Hedgerow Data'!$B$2:$AG$15,2,FALSE))</f>
        <v>High</v>
      </c>
      <c r="G133" s="363">
        <f>IF(D133="","",VLOOKUP(D133,'G-6 Hedgerow Data'!$B$2:$AG$15,3,FALSE))</f>
        <v>6</v>
      </c>
      <c r="H133" s="114" t="s">
        <v>68</v>
      </c>
      <c r="I133" s="363">
        <f>IFERROR(VLOOKUP(H133,'G-1 All Habitats'!$Z$2:$AA$9,2,FALSE),"")</f>
        <v>3</v>
      </c>
      <c r="J133" s="114" t="s">
        <v>1037</v>
      </c>
      <c r="K133" s="370" t="str">
        <f>IF(J133="","",IF(VLOOKUP(J133,'G-3 Multipliers'!$L$3:$N$6,2,FALSE)=0,"Spatial Data Missing",VLOOKUP(J133,'G-3 Multipliers'!$L$3:$N$6,2,FALSE)))</f>
        <v>Low Strategic Significance</v>
      </c>
      <c r="L133" s="368">
        <f>IF(J133="","",IF(VLOOKUP(J133,'G-3 Multipliers'!$L$3:$N$6,3,FALSE)=0,"Spatial Data Missing ⚠",VLOOKUP(J133,'G-3 Multipliers'!$L$3:$N$6,3,FALSE)))</f>
        <v>1</v>
      </c>
      <c r="M133" s="369" t="str">
        <f>IF(D133="","",VLOOKUP(D133,'G-6 Hedgerow Data'!$B$1:$AH$15,33,FALSE))</f>
        <v>Like for like or better</v>
      </c>
      <c r="N133" s="376">
        <f t="shared" si="9"/>
        <v>11.953800000000001</v>
      </c>
      <c r="O133" s="32"/>
      <c r="P133" s="122">
        <v>0.66410000000000002</v>
      </c>
      <c r="Q133" s="165">
        <v>0</v>
      </c>
      <c r="R133" s="393">
        <f t="shared" si="10"/>
        <v>11.953800000000001</v>
      </c>
      <c r="S133" s="393">
        <f t="shared" si="11"/>
        <v>0</v>
      </c>
      <c r="T133" s="393">
        <f t="shared" si="12"/>
        <v>0</v>
      </c>
      <c r="U133" s="415">
        <f t="shared" si="13"/>
        <v>0</v>
      </c>
      <c r="V133" s="119"/>
      <c r="W133" s="120"/>
      <c r="X133" s="120"/>
      <c r="AE133" s="124" t="b">
        <f t="shared" si="7"/>
        <v>1</v>
      </c>
      <c r="AF133" s="124" t="b">
        <f t="shared" si="8"/>
        <v>0</v>
      </c>
      <c r="AH133" s="124">
        <v>124</v>
      </c>
      <c r="AJ133" s="124">
        <f t="array" ref="AJ133">IFERROR(INDEX($AH$10:$AH$258, MATCH(0, IF(TRUE=$AE$10:$AE$258, COUNTIF($AJ$9:$AJ132, $AH$10:$AH$258), ""), 0)),"")</f>
        <v>148</v>
      </c>
      <c r="AK133" s="124" t="str">
        <f t="array" ref="AK133">IFERROR(INDEX($AH$10:$AH$258, MATCH(0, IF(TRUE=$AF$10:$AF$258, COUNTIF($AK$9:$AK132, $AH$10:$AH$258), ""), 0)),"")</f>
        <v/>
      </c>
      <c r="AL133" s="30" t="str">
        <f>IFERROR(INDEX('G-6 Hedgerow Data'!$BJ$3:$BJ$15,MATCH(D133,'G-6 Hedgerow Data'!$B$3:$B$15,0)),"")</f>
        <v>Hedgecond1</v>
      </c>
    </row>
    <row r="134" spans="2:38" ht="42.75" x14ac:dyDescent="0.2">
      <c r="B134" s="110">
        <v>125</v>
      </c>
      <c r="C134" s="165" t="s">
        <v>1811</v>
      </c>
      <c r="D134" s="165" t="s">
        <v>171</v>
      </c>
      <c r="E134" s="121">
        <v>0.32400000000000001</v>
      </c>
      <c r="F134" s="411" t="str">
        <f>IF(D134="","",VLOOKUP(D134,'G-6 Hedgerow Data'!$B$2:$AG$15,2,FALSE))</f>
        <v>Medium</v>
      </c>
      <c r="G134" s="363">
        <f>IF(D134="","",VLOOKUP(D134,'G-6 Hedgerow Data'!$B$2:$AG$15,3,FALSE))</f>
        <v>4</v>
      </c>
      <c r="H134" s="114" t="s">
        <v>68</v>
      </c>
      <c r="I134" s="363">
        <f>IFERROR(VLOOKUP(H134,'G-1 All Habitats'!$Z$2:$AA$9,2,FALSE),"")</f>
        <v>3</v>
      </c>
      <c r="J134" s="114" t="s">
        <v>1037</v>
      </c>
      <c r="K134" s="370" t="str">
        <f>IF(J134="","",IF(VLOOKUP(J134,'G-3 Multipliers'!$L$3:$N$6,2,FALSE)=0,"Spatial Data Missing",VLOOKUP(J134,'G-3 Multipliers'!$L$3:$N$6,2,FALSE)))</f>
        <v>Low Strategic Significance</v>
      </c>
      <c r="L134" s="368">
        <f>IF(J134="","",IF(VLOOKUP(J134,'G-3 Multipliers'!$L$3:$N$6,3,FALSE)=0,"Spatial Data Missing ⚠",VLOOKUP(J134,'G-3 Multipliers'!$L$3:$N$6,3,FALSE)))</f>
        <v>1</v>
      </c>
      <c r="M134" s="369" t="str">
        <f>IF(D134="","",VLOOKUP(D134,'G-6 Hedgerow Data'!$B$1:$AH$15,33,FALSE))</f>
        <v>Same distinctiveness band or better</v>
      </c>
      <c r="N134" s="376">
        <f t="shared" si="9"/>
        <v>3.8879999999999999</v>
      </c>
      <c r="O134" s="32"/>
      <c r="P134" s="122">
        <v>0.32400000000000001</v>
      </c>
      <c r="Q134" s="165">
        <v>0</v>
      </c>
      <c r="R134" s="393">
        <f t="shared" si="10"/>
        <v>3.8879999999999999</v>
      </c>
      <c r="S134" s="393">
        <f t="shared" si="11"/>
        <v>0</v>
      </c>
      <c r="T134" s="393">
        <f t="shared" si="12"/>
        <v>0</v>
      </c>
      <c r="U134" s="415">
        <f t="shared" si="13"/>
        <v>0</v>
      </c>
      <c r="V134" s="119"/>
      <c r="W134" s="120"/>
      <c r="X134" s="120"/>
      <c r="AE134" s="124" t="b">
        <f t="shared" si="7"/>
        <v>1</v>
      </c>
      <c r="AF134" s="124" t="b">
        <f t="shared" si="8"/>
        <v>0</v>
      </c>
      <c r="AH134" s="124">
        <v>125</v>
      </c>
      <c r="AJ134" s="124">
        <f t="array" ref="AJ134">IFERROR(INDEX($AH$10:$AH$258, MATCH(0, IF(TRUE=$AE$10:$AE$258, COUNTIF($AJ$9:$AJ133, $AH$10:$AH$258), ""), 0)),"")</f>
        <v>149</v>
      </c>
      <c r="AK134" s="124" t="str">
        <f t="array" ref="AK134">IFERROR(INDEX($AH$10:$AH$258, MATCH(0, IF(TRUE=$AF$10:$AF$258, COUNTIF($AK$9:$AK133, $AH$10:$AH$258), ""), 0)),"")</f>
        <v/>
      </c>
      <c r="AL134" s="30" t="str">
        <f>IFERROR(INDEX('G-6 Hedgerow Data'!$BJ$3:$BJ$15,MATCH(D134,'G-6 Hedgerow Data'!$B$3:$B$15,0)),"")</f>
        <v>Hedgecond1</v>
      </c>
    </row>
    <row r="135" spans="2:38" ht="42.75" x14ac:dyDescent="0.2">
      <c r="B135" s="110">
        <v>126</v>
      </c>
      <c r="C135" s="165" t="s">
        <v>1812</v>
      </c>
      <c r="D135" s="165" t="s">
        <v>171</v>
      </c>
      <c r="E135" s="121">
        <v>2.4299999999999999E-2</v>
      </c>
      <c r="F135" s="411" t="str">
        <f>IF(D135="","",VLOOKUP(D135,'G-6 Hedgerow Data'!$B$2:$AG$15,2,FALSE))</f>
        <v>Medium</v>
      </c>
      <c r="G135" s="363">
        <f>IF(D135="","",VLOOKUP(D135,'G-6 Hedgerow Data'!$B$2:$AG$15,3,FALSE))</f>
        <v>4</v>
      </c>
      <c r="H135" s="114" t="s">
        <v>67</v>
      </c>
      <c r="I135" s="363">
        <f>IFERROR(VLOOKUP(H135,'G-1 All Habitats'!$Z$2:$AA$9,2,FALSE),"")</f>
        <v>2</v>
      </c>
      <c r="J135" s="114" t="s">
        <v>1029</v>
      </c>
      <c r="K135" s="370" t="str">
        <f>IF(J135="","",IF(VLOOKUP(J135,'G-3 Multipliers'!$L$3:$N$6,2,FALSE)=0,"Spatial Data Missing",VLOOKUP(J135,'G-3 Multipliers'!$L$3:$N$6,2,FALSE)))</f>
        <v xml:space="preserve">High strategic significance </v>
      </c>
      <c r="L135" s="368">
        <f>IF(J135="","",IF(VLOOKUP(J135,'G-3 Multipliers'!$L$3:$N$6,3,FALSE)=0,"Spatial Data Missing ⚠",VLOOKUP(J135,'G-3 Multipliers'!$L$3:$N$6,3,FALSE)))</f>
        <v>1.1499999999999999</v>
      </c>
      <c r="M135" s="369" t="str">
        <f>IF(D135="","",VLOOKUP(D135,'G-6 Hedgerow Data'!$B$1:$AH$15,33,FALSE))</f>
        <v>Same distinctiveness band or better</v>
      </c>
      <c r="N135" s="376">
        <f t="shared" si="9"/>
        <v>0.22355999999999998</v>
      </c>
      <c r="O135" s="32"/>
      <c r="P135" s="122">
        <v>2.4299999999999999E-2</v>
      </c>
      <c r="Q135" s="165">
        <v>0</v>
      </c>
      <c r="R135" s="393">
        <f t="shared" si="10"/>
        <v>0.22355999999999998</v>
      </c>
      <c r="S135" s="393">
        <f t="shared" si="11"/>
        <v>0</v>
      </c>
      <c r="T135" s="393">
        <f t="shared" si="12"/>
        <v>0</v>
      </c>
      <c r="U135" s="415">
        <f t="shared" si="13"/>
        <v>0</v>
      </c>
      <c r="V135" s="119"/>
      <c r="W135" s="120"/>
      <c r="X135" s="120"/>
      <c r="AE135" s="124" t="b">
        <f t="shared" si="7"/>
        <v>1</v>
      </c>
      <c r="AF135" s="124" t="b">
        <f t="shared" si="8"/>
        <v>0</v>
      </c>
      <c r="AH135" s="124">
        <v>126</v>
      </c>
      <c r="AJ135" s="124">
        <f t="array" ref="AJ135">IFERROR(INDEX($AH$10:$AH$258, MATCH(0, IF(TRUE=$AE$10:$AE$258, COUNTIF($AJ$9:$AJ134, $AH$10:$AH$258), ""), 0)),"")</f>
        <v>150</v>
      </c>
      <c r="AK135" s="124" t="str">
        <f t="array" ref="AK135">IFERROR(INDEX($AH$10:$AH$258, MATCH(0, IF(TRUE=$AF$10:$AF$258, COUNTIF($AK$9:$AK134, $AH$10:$AH$258), ""), 0)),"")</f>
        <v/>
      </c>
      <c r="AL135" s="30" t="str">
        <f>IFERROR(INDEX('G-6 Hedgerow Data'!$BJ$3:$BJ$15,MATCH(D135,'G-6 Hedgerow Data'!$B$3:$B$15,0)),"")</f>
        <v>Hedgecond1</v>
      </c>
    </row>
    <row r="136" spans="2:38" ht="42.75" x14ac:dyDescent="0.2">
      <c r="B136" s="110">
        <v>127</v>
      </c>
      <c r="C136" s="165" t="s">
        <v>1813</v>
      </c>
      <c r="D136" s="165" t="s">
        <v>176</v>
      </c>
      <c r="E136" s="121">
        <v>0.18240000000000001</v>
      </c>
      <c r="F136" s="411" t="str">
        <f>IF(D136="","",VLOOKUP(D136,'G-6 Hedgerow Data'!$B$2:$AG$15,2,FALSE))</f>
        <v>Low</v>
      </c>
      <c r="G136" s="363">
        <f>IF(D136="","",VLOOKUP(D136,'G-6 Hedgerow Data'!$B$2:$AG$15,3,FALSE))</f>
        <v>2</v>
      </c>
      <c r="H136" s="114" t="s">
        <v>68</v>
      </c>
      <c r="I136" s="363">
        <f>IFERROR(VLOOKUP(H136,'G-1 All Habitats'!$Z$2:$AA$9,2,FALSE),"")</f>
        <v>3</v>
      </c>
      <c r="J136" s="114" t="s">
        <v>1037</v>
      </c>
      <c r="K136" s="370" t="str">
        <f>IF(J136="","",IF(VLOOKUP(J136,'G-3 Multipliers'!$L$3:$N$6,2,FALSE)=0,"Spatial Data Missing",VLOOKUP(J136,'G-3 Multipliers'!$L$3:$N$6,2,FALSE)))</f>
        <v>Low Strategic Significance</v>
      </c>
      <c r="L136" s="368">
        <f>IF(J136="","",IF(VLOOKUP(J136,'G-3 Multipliers'!$L$3:$N$6,3,FALSE)=0,"Spatial Data Missing ⚠",VLOOKUP(J136,'G-3 Multipliers'!$L$3:$N$6,3,FALSE)))</f>
        <v>1</v>
      </c>
      <c r="M136" s="369" t="str">
        <f>IF(D136="","",VLOOKUP(D136,'G-6 Hedgerow Data'!$B$1:$AH$15,33,FALSE))</f>
        <v>Same distinctiveness band or better</v>
      </c>
      <c r="N136" s="376">
        <f t="shared" si="9"/>
        <v>1.0944</v>
      </c>
      <c r="O136" s="32"/>
      <c r="P136" s="122">
        <v>0.182</v>
      </c>
      <c r="Q136" s="165">
        <v>0</v>
      </c>
      <c r="R136" s="393">
        <f t="shared" si="10"/>
        <v>1.0920000000000001</v>
      </c>
      <c r="S136" s="393">
        <f t="shared" si="11"/>
        <v>0</v>
      </c>
      <c r="T136" s="393">
        <f t="shared" si="12"/>
        <v>4.0000000000001146E-4</v>
      </c>
      <c r="U136" s="415">
        <f t="shared" si="13"/>
        <v>2.3999999999999577E-3</v>
      </c>
      <c r="V136" s="119" t="s">
        <v>1957</v>
      </c>
      <c r="W136" s="120"/>
      <c r="X136" s="120"/>
      <c r="AE136" s="124" t="b">
        <f t="shared" si="7"/>
        <v>1</v>
      </c>
      <c r="AF136" s="124" t="b">
        <f t="shared" si="8"/>
        <v>0</v>
      </c>
      <c r="AH136" s="124">
        <v>127</v>
      </c>
      <c r="AJ136" s="124">
        <f t="array" ref="AJ136">IFERROR(INDEX($AH$10:$AH$258, MATCH(0, IF(TRUE=$AE$10:$AE$258, COUNTIF($AJ$9:$AJ135, $AH$10:$AH$258), ""), 0)),"")</f>
        <v>151</v>
      </c>
      <c r="AK136" s="124" t="str">
        <f t="array" ref="AK136">IFERROR(INDEX($AH$10:$AH$258, MATCH(0, IF(TRUE=$AF$10:$AF$258, COUNTIF($AK$9:$AK135, $AH$10:$AH$258), ""), 0)),"")</f>
        <v/>
      </c>
      <c r="AL136" s="30" t="str">
        <f>IFERROR(INDEX('G-6 Hedgerow Data'!$BJ$3:$BJ$15,MATCH(D136,'G-6 Hedgerow Data'!$B$3:$B$15,0)),"")</f>
        <v>Hedgecond1</v>
      </c>
    </row>
    <row r="137" spans="2:38" ht="42.75" x14ac:dyDescent="0.2">
      <c r="B137" s="110">
        <v>128</v>
      </c>
      <c r="C137" s="165" t="s">
        <v>1814</v>
      </c>
      <c r="D137" s="165" t="s">
        <v>173</v>
      </c>
      <c r="E137" s="121">
        <v>0.39069999999999999</v>
      </c>
      <c r="F137" s="411" t="str">
        <f>IF(D137="","",VLOOKUP(D137,'G-6 Hedgerow Data'!$B$2:$AG$15,2,FALSE))</f>
        <v>Medium</v>
      </c>
      <c r="G137" s="363">
        <f>IF(D137="","",VLOOKUP(D137,'G-6 Hedgerow Data'!$B$2:$AG$15,3,FALSE))</f>
        <v>4</v>
      </c>
      <c r="H137" s="114" t="s">
        <v>67</v>
      </c>
      <c r="I137" s="363">
        <f>IFERROR(VLOOKUP(H137,'G-1 All Habitats'!$Z$2:$AA$9,2,FALSE),"")</f>
        <v>2</v>
      </c>
      <c r="J137" s="114" t="s">
        <v>1037</v>
      </c>
      <c r="K137" s="370" t="str">
        <f>IF(J137="","",IF(VLOOKUP(J137,'G-3 Multipliers'!$L$3:$N$6,2,FALSE)=0,"Spatial Data Missing",VLOOKUP(J137,'G-3 Multipliers'!$L$3:$N$6,2,FALSE)))</f>
        <v>Low Strategic Significance</v>
      </c>
      <c r="L137" s="368">
        <f>IF(J137="","",IF(VLOOKUP(J137,'G-3 Multipliers'!$L$3:$N$6,3,FALSE)=0,"Spatial Data Missing ⚠",VLOOKUP(J137,'G-3 Multipliers'!$L$3:$N$6,3,FALSE)))</f>
        <v>1</v>
      </c>
      <c r="M137" s="369" t="str">
        <f>IF(D137="","",VLOOKUP(D137,'G-6 Hedgerow Data'!$B$1:$AH$15,33,FALSE))</f>
        <v>Same distinctiveness band or better</v>
      </c>
      <c r="N137" s="376">
        <f t="shared" si="9"/>
        <v>3.1255999999999999</v>
      </c>
      <c r="O137" s="32"/>
      <c r="P137" s="122">
        <v>0.39029999999999998</v>
      </c>
      <c r="Q137" s="165">
        <v>0</v>
      </c>
      <c r="R137" s="393">
        <f t="shared" si="10"/>
        <v>3.1223999999999998</v>
      </c>
      <c r="S137" s="393">
        <f t="shared" si="11"/>
        <v>0</v>
      </c>
      <c r="T137" s="393">
        <f t="shared" si="12"/>
        <v>4.0000000000001146E-4</v>
      </c>
      <c r="U137" s="415">
        <f t="shared" si="13"/>
        <v>3.2000000000000917E-3</v>
      </c>
      <c r="V137" s="119" t="s">
        <v>1958</v>
      </c>
      <c r="W137" s="120"/>
      <c r="X137" s="120"/>
      <c r="AE137" s="124" t="b">
        <f t="shared" si="7"/>
        <v>1</v>
      </c>
      <c r="AF137" s="124" t="b">
        <f t="shared" si="8"/>
        <v>0</v>
      </c>
      <c r="AH137" s="124">
        <v>128</v>
      </c>
      <c r="AJ137" s="124">
        <f t="array" ref="AJ137">IFERROR(INDEX($AH$10:$AH$258, MATCH(0, IF(TRUE=$AE$10:$AE$258, COUNTIF($AJ$9:$AJ136, $AH$10:$AH$258), ""), 0)),"")</f>
        <v>153</v>
      </c>
      <c r="AK137" s="124" t="str">
        <f t="array" ref="AK137">IFERROR(INDEX($AH$10:$AH$258, MATCH(0, IF(TRUE=$AF$10:$AF$258, COUNTIF($AK$9:$AK136, $AH$10:$AH$258), ""), 0)),"")</f>
        <v/>
      </c>
      <c r="AL137" s="30" t="str">
        <f>IFERROR(INDEX('G-6 Hedgerow Data'!$BJ$3:$BJ$15,MATCH(D137,'G-6 Hedgerow Data'!$B$3:$B$15,0)),"")</f>
        <v>Hedgecond1</v>
      </c>
    </row>
    <row r="138" spans="2:38" ht="42.75" x14ac:dyDescent="0.2">
      <c r="B138" s="110">
        <v>129</v>
      </c>
      <c r="C138" s="165" t="s">
        <v>1815</v>
      </c>
      <c r="D138" s="165" t="s">
        <v>176</v>
      </c>
      <c r="E138" s="121">
        <v>0.108</v>
      </c>
      <c r="F138" s="411" t="str">
        <f>IF(D138="","",VLOOKUP(D138,'G-6 Hedgerow Data'!$B$2:$AG$15,2,FALSE))</f>
        <v>Low</v>
      </c>
      <c r="G138" s="363">
        <f>IF(D138="","",VLOOKUP(D138,'G-6 Hedgerow Data'!$B$2:$AG$15,3,FALSE))</f>
        <v>2</v>
      </c>
      <c r="H138" s="114" t="s">
        <v>68</v>
      </c>
      <c r="I138" s="363">
        <f>IFERROR(VLOOKUP(H138,'G-1 All Habitats'!$Z$2:$AA$9,2,FALSE),"")</f>
        <v>3</v>
      </c>
      <c r="J138" s="114" t="s">
        <v>1037</v>
      </c>
      <c r="K138" s="370" t="str">
        <f>IF(J138="","",IF(VLOOKUP(J138,'G-3 Multipliers'!$L$3:$N$6,2,FALSE)=0,"Spatial Data Missing",VLOOKUP(J138,'G-3 Multipliers'!$L$3:$N$6,2,FALSE)))</f>
        <v>Low Strategic Significance</v>
      </c>
      <c r="L138" s="368">
        <f>IF(J138="","",IF(VLOOKUP(J138,'G-3 Multipliers'!$L$3:$N$6,3,FALSE)=0,"Spatial Data Missing ⚠",VLOOKUP(J138,'G-3 Multipliers'!$L$3:$N$6,3,FALSE)))</f>
        <v>1</v>
      </c>
      <c r="M138" s="369" t="str">
        <f>IF(D138="","",VLOOKUP(D138,'G-6 Hedgerow Data'!$B$1:$AH$15,33,FALSE))</f>
        <v>Same distinctiveness band or better</v>
      </c>
      <c r="N138" s="376">
        <f t="shared" si="9"/>
        <v>0.64800000000000002</v>
      </c>
      <c r="O138" s="32"/>
      <c r="P138" s="122">
        <v>0.108</v>
      </c>
      <c r="Q138" s="165">
        <v>0</v>
      </c>
      <c r="R138" s="393">
        <f t="shared" si="10"/>
        <v>0.64800000000000002</v>
      </c>
      <c r="S138" s="393">
        <f t="shared" si="11"/>
        <v>0</v>
      </c>
      <c r="T138" s="393">
        <f t="shared" si="12"/>
        <v>0</v>
      </c>
      <c r="U138" s="415">
        <f t="shared" si="13"/>
        <v>0</v>
      </c>
      <c r="V138" s="119"/>
      <c r="W138" s="120"/>
      <c r="X138" s="120"/>
      <c r="AE138" s="124" t="b">
        <f t="shared" ref="AE138:AE201" si="14">IF(D138="","",IF(P138&gt;0,TRUE,FALSE))</f>
        <v>1</v>
      </c>
      <c r="AF138" s="124" t="b">
        <f t="shared" ref="AF138:AF201" si="15">IF(D138="","",IF(Q138&gt;0,TRUE,FALSE))</f>
        <v>0</v>
      </c>
      <c r="AH138" s="124">
        <v>129</v>
      </c>
      <c r="AJ138" s="124">
        <f t="array" ref="AJ138">IFERROR(INDEX($AH$10:$AH$258, MATCH(0, IF(TRUE=$AE$10:$AE$258, COUNTIF($AJ$9:$AJ137, $AH$10:$AH$258), ""), 0)),"")</f>
        <v>154</v>
      </c>
      <c r="AK138" s="124" t="str">
        <f t="array" ref="AK138">IFERROR(INDEX($AH$10:$AH$258, MATCH(0, IF(TRUE=$AF$10:$AF$258, COUNTIF($AK$9:$AK137, $AH$10:$AH$258), ""), 0)),"")</f>
        <v/>
      </c>
      <c r="AL138" s="30" t="str">
        <f>IFERROR(INDEX('G-6 Hedgerow Data'!$BJ$3:$BJ$15,MATCH(D138,'G-6 Hedgerow Data'!$B$3:$B$15,0)),"")</f>
        <v>Hedgecond1</v>
      </c>
    </row>
    <row r="139" spans="2:38" ht="28.5" x14ac:dyDescent="0.2">
      <c r="B139" s="110">
        <v>130</v>
      </c>
      <c r="C139" s="165" t="s">
        <v>1816</v>
      </c>
      <c r="D139" s="165" t="s">
        <v>168</v>
      </c>
      <c r="E139" s="121">
        <v>0.75339999999999996</v>
      </c>
      <c r="F139" s="411" t="str">
        <f>IF(D139="","",VLOOKUP(D139,'G-6 Hedgerow Data'!$B$2:$AG$15,2,FALSE))</f>
        <v>High</v>
      </c>
      <c r="G139" s="363">
        <f>IF(D139="","",VLOOKUP(D139,'G-6 Hedgerow Data'!$B$2:$AG$15,3,FALSE))</f>
        <v>6</v>
      </c>
      <c r="H139" s="114" t="s">
        <v>68</v>
      </c>
      <c r="I139" s="363">
        <f>IFERROR(VLOOKUP(H139,'G-1 All Habitats'!$Z$2:$AA$9,2,FALSE),"")</f>
        <v>3</v>
      </c>
      <c r="J139" s="114" t="s">
        <v>1037</v>
      </c>
      <c r="K139" s="370" t="str">
        <f>IF(J139="","",IF(VLOOKUP(J139,'G-3 Multipliers'!$L$3:$N$6,2,FALSE)=0,"Spatial Data Missing",VLOOKUP(J139,'G-3 Multipliers'!$L$3:$N$6,2,FALSE)))</f>
        <v>Low Strategic Significance</v>
      </c>
      <c r="L139" s="368">
        <f>IF(J139="","",IF(VLOOKUP(J139,'G-3 Multipliers'!$L$3:$N$6,3,FALSE)=0,"Spatial Data Missing ⚠",VLOOKUP(J139,'G-3 Multipliers'!$L$3:$N$6,3,FALSE)))</f>
        <v>1</v>
      </c>
      <c r="M139" s="369" t="str">
        <f>IF(D139="","",VLOOKUP(D139,'G-6 Hedgerow Data'!$B$1:$AH$15,33,FALSE))</f>
        <v>Like for like or better</v>
      </c>
      <c r="N139" s="376">
        <f t="shared" ref="N139:N202" si="16">IFERROR(E139*G139*I139*L139,"")</f>
        <v>13.561199999999999</v>
      </c>
      <c r="O139" s="32"/>
      <c r="P139" s="122">
        <v>0.75339999999999996</v>
      </c>
      <c r="Q139" s="165">
        <v>0</v>
      </c>
      <c r="R139" s="393">
        <f t="shared" ref="R139:R202" si="17">IFERROR(P139*G139*I139*L139,"")</f>
        <v>13.561199999999999</v>
      </c>
      <c r="S139" s="393">
        <f t="shared" ref="S139:S202" si="18">IFERROR(Q139*G139*I139*L139,"")</f>
        <v>0</v>
      </c>
      <c r="T139" s="393">
        <f t="shared" ref="T139:T202" si="19">IF(D139="","",IF(E139-P139-Q139=0&lt;0,"Error in lengths ▲",IF(P139+Q139&gt;E139,"Error in Lengths ▲",E139-P139-Q139)))</f>
        <v>0</v>
      </c>
      <c r="U139" s="415">
        <f t="shared" ref="U139:U202" si="20">IF(OR(E139="",N139=""),"",IF(E139-P139-Q139=0&lt;0,"Error in Lengths ▲",IF(P139+Q139&gt;E139,"Error in Lengths ▲",N139-R139-S139)))</f>
        <v>0</v>
      </c>
      <c r="V139" s="119"/>
      <c r="W139" s="120"/>
      <c r="X139" s="120"/>
      <c r="AE139" s="124" t="b">
        <f t="shared" si="14"/>
        <v>1</v>
      </c>
      <c r="AF139" s="124" t="b">
        <f t="shared" si="15"/>
        <v>0</v>
      </c>
      <c r="AH139" s="124">
        <v>130</v>
      </c>
      <c r="AJ139" s="124">
        <f t="array" ref="AJ139">IFERROR(INDEX($AH$10:$AH$258, MATCH(0, IF(TRUE=$AE$10:$AE$258, COUNTIF($AJ$9:$AJ138, $AH$10:$AH$258), ""), 0)),"")</f>
        <v>155</v>
      </c>
      <c r="AK139" s="124" t="str">
        <f t="array" ref="AK139">IFERROR(INDEX($AH$10:$AH$258, MATCH(0, IF(TRUE=$AF$10:$AF$258, COUNTIF($AK$9:$AK138, $AH$10:$AH$258), ""), 0)),"")</f>
        <v/>
      </c>
      <c r="AL139" s="30" t="str">
        <f>IFERROR(INDEX('G-6 Hedgerow Data'!$BJ$3:$BJ$15,MATCH(D139,'G-6 Hedgerow Data'!$B$3:$B$15,0)),"")</f>
        <v>Hedgecond1</v>
      </c>
    </row>
    <row r="140" spans="2:38" ht="42.75" x14ac:dyDescent="0.2">
      <c r="B140" s="110">
        <v>131</v>
      </c>
      <c r="C140" s="165" t="s">
        <v>1817</v>
      </c>
      <c r="D140" s="165" t="s">
        <v>171</v>
      </c>
      <c r="E140" s="121">
        <v>0.45550000000000002</v>
      </c>
      <c r="F140" s="411" t="str">
        <f>IF(D140="","",VLOOKUP(D140,'G-6 Hedgerow Data'!$B$2:$AG$15,2,FALSE))</f>
        <v>Medium</v>
      </c>
      <c r="G140" s="363">
        <f>IF(D140="","",VLOOKUP(D140,'G-6 Hedgerow Data'!$B$2:$AG$15,3,FALSE))</f>
        <v>4</v>
      </c>
      <c r="H140" s="114" t="s">
        <v>67</v>
      </c>
      <c r="I140" s="363">
        <f>IFERROR(VLOOKUP(H140,'G-1 All Habitats'!$Z$2:$AA$9,2,FALSE),"")</f>
        <v>2</v>
      </c>
      <c r="J140" s="114" t="s">
        <v>1037</v>
      </c>
      <c r="K140" s="370" t="str">
        <f>IF(J140="","",IF(VLOOKUP(J140,'G-3 Multipliers'!$L$3:$N$6,2,FALSE)=0,"Spatial Data Missing",VLOOKUP(J140,'G-3 Multipliers'!$L$3:$N$6,2,FALSE)))</f>
        <v>Low Strategic Significance</v>
      </c>
      <c r="L140" s="368">
        <f>IF(J140="","",IF(VLOOKUP(J140,'G-3 Multipliers'!$L$3:$N$6,3,FALSE)=0,"Spatial Data Missing ⚠",VLOOKUP(J140,'G-3 Multipliers'!$L$3:$N$6,3,FALSE)))</f>
        <v>1</v>
      </c>
      <c r="M140" s="369" t="str">
        <f>IF(D140="","",VLOOKUP(D140,'G-6 Hedgerow Data'!$B$1:$AH$15,33,FALSE))</f>
        <v>Same distinctiveness band or better</v>
      </c>
      <c r="N140" s="376">
        <f t="shared" si="16"/>
        <v>3.6440000000000001</v>
      </c>
      <c r="O140" s="32"/>
      <c r="P140" s="122">
        <v>0.44929999999999998</v>
      </c>
      <c r="Q140" s="165">
        <v>0</v>
      </c>
      <c r="R140" s="393">
        <f t="shared" si="17"/>
        <v>3.5943999999999998</v>
      </c>
      <c r="S140" s="393">
        <f t="shared" si="18"/>
        <v>0</v>
      </c>
      <c r="T140" s="393">
        <f t="shared" si="19"/>
        <v>6.2000000000000388E-3</v>
      </c>
      <c r="U140" s="415">
        <f t="shared" si="20"/>
        <v>4.9600000000000311E-2</v>
      </c>
      <c r="V140" s="119" t="s">
        <v>1959</v>
      </c>
      <c r="W140" s="120"/>
      <c r="X140" s="120"/>
      <c r="AE140" s="124" t="b">
        <f t="shared" si="14"/>
        <v>1</v>
      </c>
      <c r="AF140" s="124" t="b">
        <f t="shared" si="15"/>
        <v>0</v>
      </c>
      <c r="AH140" s="124">
        <v>131</v>
      </c>
      <c r="AJ140" s="124">
        <f t="array" ref="AJ140">IFERROR(INDEX($AH$10:$AH$258, MATCH(0, IF(TRUE=$AE$10:$AE$258, COUNTIF($AJ$9:$AJ139, $AH$10:$AH$258), ""), 0)),"")</f>
        <v>157</v>
      </c>
      <c r="AK140" s="124" t="str">
        <f t="array" ref="AK140">IFERROR(INDEX($AH$10:$AH$258, MATCH(0, IF(TRUE=$AF$10:$AF$258, COUNTIF($AK$9:$AK139, $AH$10:$AH$258), ""), 0)),"")</f>
        <v/>
      </c>
      <c r="AL140" s="30" t="str">
        <f>IFERROR(INDEX('G-6 Hedgerow Data'!$BJ$3:$BJ$15,MATCH(D140,'G-6 Hedgerow Data'!$B$3:$B$15,0)),"")</f>
        <v>Hedgecond1</v>
      </c>
    </row>
    <row r="141" spans="2:38" ht="28.5" x14ac:dyDescent="0.2">
      <c r="B141" s="110">
        <v>132</v>
      </c>
      <c r="C141" s="165" t="s">
        <v>1818</v>
      </c>
      <c r="D141" s="165" t="s">
        <v>168</v>
      </c>
      <c r="E141" s="121">
        <v>0.3306</v>
      </c>
      <c r="F141" s="411" t="str">
        <f>IF(D141="","",VLOOKUP(D141,'G-6 Hedgerow Data'!$B$2:$AG$15,2,FALSE))</f>
        <v>High</v>
      </c>
      <c r="G141" s="363">
        <f>IF(D141="","",VLOOKUP(D141,'G-6 Hedgerow Data'!$B$2:$AG$15,3,FALSE))</f>
        <v>6</v>
      </c>
      <c r="H141" s="114" t="s">
        <v>67</v>
      </c>
      <c r="I141" s="363">
        <f>IFERROR(VLOOKUP(H141,'G-1 All Habitats'!$Z$2:$AA$9,2,FALSE),"")</f>
        <v>2</v>
      </c>
      <c r="J141" s="114" t="s">
        <v>1037</v>
      </c>
      <c r="K141" s="370" t="str">
        <f>IF(J141="","",IF(VLOOKUP(J141,'G-3 Multipliers'!$L$3:$N$6,2,FALSE)=0,"Spatial Data Missing",VLOOKUP(J141,'G-3 Multipliers'!$L$3:$N$6,2,FALSE)))</f>
        <v>Low Strategic Significance</v>
      </c>
      <c r="L141" s="368">
        <f>IF(J141="","",IF(VLOOKUP(J141,'G-3 Multipliers'!$L$3:$N$6,3,FALSE)=0,"Spatial Data Missing ⚠",VLOOKUP(J141,'G-3 Multipliers'!$L$3:$N$6,3,FALSE)))</f>
        <v>1</v>
      </c>
      <c r="M141" s="369" t="str">
        <f>IF(D141="","",VLOOKUP(D141,'G-6 Hedgerow Data'!$B$1:$AH$15,33,FALSE))</f>
        <v>Like for like or better</v>
      </c>
      <c r="N141" s="376">
        <f t="shared" si="16"/>
        <v>3.9672000000000001</v>
      </c>
      <c r="O141" s="32"/>
      <c r="P141" s="122">
        <v>0.3306</v>
      </c>
      <c r="Q141" s="165">
        <v>0</v>
      </c>
      <c r="R141" s="393">
        <f t="shared" si="17"/>
        <v>3.9672000000000001</v>
      </c>
      <c r="S141" s="393">
        <f t="shared" si="18"/>
        <v>0</v>
      </c>
      <c r="T141" s="393">
        <f t="shared" si="19"/>
        <v>0</v>
      </c>
      <c r="U141" s="415">
        <f t="shared" si="20"/>
        <v>0</v>
      </c>
      <c r="V141" s="119"/>
      <c r="W141" s="120"/>
      <c r="X141" s="120"/>
      <c r="AE141" s="124" t="b">
        <f t="shared" si="14"/>
        <v>1</v>
      </c>
      <c r="AF141" s="124" t="b">
        <f t="shared" si="15"/>
        <v>0</v>
      </c>
      <c r="AH141" s="124">
        <v>132</v>
      </c>
      <c r="AJ141" s="124">
        <f t="array" ref="AJ141">IFERROR(INDEX($AH$10:$AH$258, MATCH(0, IF(TRUE=$AE$10:$AE$258, COUNTIF($AJ$9:$AJ140, $AH$10:$AH$258), ""), 0)),"")</f>
        <v>159</v>
      </c>
      <c r="AK141" s="124" t="str">
        <f t="array" ref="AK141">IFERROR(INDEX($AH$10:$AH$258, MATCH(0, IF(TRUE=$AF$10:$AF$258, COUNTIF($AK$9:$AK140, $AH$10:$AH$258), ""), 0)),"")</f>
        <v/>
      </c>
      <c r="AL141" s="30" t="str">
        <f>IFERROR(INDEX('G-6 Hedgerow Data'!$BJ$3:$BJ$15,MATCH(D141,'G-6 Hedgerow Data'!$B$3:$B$15,0)),"")</f>
        <v>Hedgecond1</v>
      </c>
    </row>
    <row r="142" spans="2:38" ht="28.5" x14ac:dyDescent="0.2">
      <c r="B142" s="110">
        <v>133</v>
      </c>
      <c r="C142" s="165" t="s">
        <v>1819</v>
      </c>
      <c r="D142" s="165" t="s">
        <v>168</v>
      </c>
      <c r="E142" s="121">
        <v>0.44969999999999999</v>
      </c>
      <c r="F142" s="411" t="str">
        <f>IF(D142="","",VLOOKUP(D142,'G-6 Hedgerow Data'!$B$2:$AG$15,2,FALSE))</f>
        <v>High</v>
      </c>
      <c r="G142" s="363">
        <f>IF(D142="","",VLOOKUP(D142,'G-6 Hedgerow Data'!$B$2:$AG$15,3,FALSE))</f>
        <v>6</v>
      </c>
      <c r="H142" s="114" t="s">
        <v>68</v>
      </c>
      <c r="I142" s="363">
        <f>IFERROR(VLOOKUP(H142,'G-1 All Habitats'!$Z$2:$AA$9,2,FALSE),"")</f>
        <v>3</v>
      </c>
      <c r="J142" s="114" t="s">
        <v>1037</v>
      </c>
      <c r="K142" s="370" t="str">
        <f>IF(J142="","",IF(VLOOKUP(J142,'G-3 Multipliers'!$L$3:$N$6,2,FALSE)=0,"Spatial Data Missing",VLOOKUP(J142,'G-3 Multipliers'!$L$3:$N$6,2,FALSE)))</f>
        <v>Low Strategic Significance</v>
      </c>
      <c r="L142" s="368">
        <f>IF(J142="","",IF(VLOOKUP(J142,'G-3 Multipliers'!$L$3:$N$6,3,FALSE)=0,"Spatial Data Missing ⚠",VLOOKUP(J142,'G-3 Multipliers'!$L$3:$N$6,3,FALSE)))</f>
        <v>1</v>
      </c>
      <c r="M142" s="369" t="str">
        <f>IF(D142="","",VLOOKUP(D142,'G-6 Hedgerow Data'!$B$1:$AH$15,33,FALSE))</f>
        <v>Like for like or better</v>
      </c>
      <c r="N142" s="376">
        <f t="shared" si="16"/>
        <v>8.0945999999999998</v>
      </c>
      <c r="O142" s="32"/>
      <c r="P142" s="122">
        <v>1.6000000000000001E-3</v>
      </c>
      <c r="Q142" s="165">
        <v>0.3931</v>
      </c>
      <c r="R142" s="393">
        <f t="shared" si="17"/>
        <v>2.8800000000000003E-2</v>
      </c>
      <c r="S142" s="393">
        <f t="shared" si="18"/>
        <v>7.0758000000000001</v>
      </c>
      <c r="T142" s="393">
        <f t="shared" si="19"/>
        <v>5.4999999999999993E-2</v>
      </c>
      <c r="U142" s="415">
        <f t="shared" si="20"/>
        <v>0.98999999999999932</v>
      </c>
      <c r="V142" s="119" t="s">
        <v>1960</v>
      </c>
      <c r="W142" s="120"/>
      <c r="X142" s="120"/>
      <c r="AE142" s="124" t="b">
        <f t="shared" si="14"/>
        <v>1</v>
      </c>
      <c r="AF142" s="124" t="b">
        <f t="shared" si="15"/>
        <v>1</v>
      </c>
      <c r="AH142" s="124">
        <v>133</v>
      </c>
      <c r="AJ142" s="124">
        <f t="array" ref="AJ142">IFERROR(INDEX($AH$10:$AH$258, MATCH(0, IF(TRUE=$AE$10:$AE$258, COUNTIF($AJ$9:$AJ141, $AH$10:$AH$258), ""), 0)),"")</f>
        <v>160</v>
      </c>
      <c r="AK142" s="124" t="str">
        <f t="array" ref="AK142">IFERROR(INDEX($AH$10:$AH$258, MATCH(0, IF(TRUE=$AF$10:$AF$258, COUNTIF($AK$9:$AK141, $AH$10:$AH$258), ""), 0)),"")</f>
        <v/>
      </c>
      <c r="AL142" s="30" t="str">
        <f>IFERROR(INDEX('G-6 Hedgerow Data'!$BJ$3:$BJ$15,MATCH(D142,'G-6 Hedgerow Data'!$B$3:$B$15,0)),"")</f>
        <v>Hedgecond1</v>
      </c>
    </row>
    <row r="143" spans="2:38" ht="28.5" x14ac:dyDescent="0.2">
      <c r="B143" s="110">
        <v>134</v>
      </c>
      <c r="C143" s="165" t="s">
        <v>1820</v>
      </c>
      <c r="D143" s="165" t="s">
        <v>168</v>
      </c>
      <c r="E143" s="121">
        <v>3.2599999999999997E-2</v>
      </c>
      <c r="F143" s="411" t="str">
        <f>IF(D143="","",VLOOKUP(D143,'G-6 Hedgerow Data'!$B$2:$AG$15,2,FALSE))</f>
        <v>High</v>
      </c>
      <c r="G143" s="363">
        <f>IF(D143="","",VLOOKUP(D143,'G-6 Hedgerow Data'!$B$2:$AG$15,3,FALSE))</f>
        <v>6</v>
      </c>
      <c r="H143" s="114" t="s">
        <v>68</v>
      </c>
      <c r="I143" s="363">
        <f>IFERROR(VLOOKUP(H143,'G-1 All Habitats'!$Z$2:$AA$9,2,FALSE),"")</f>
        <v>3</v>
      </c>
      <c r="J143" s="114" t="s">
        <v>1029</v>
      </c>
      <c r="K143" s="370" t="str">
        <f>IF(J143="","",IF(VLOOKUP(J143,'G-3 Multipliers'!$L$3:$N$6,2,FALSE)=0,"Spatial Data Missing",VLOOKUP(J143,'G-3 Multipliers'!$L$3:$N$6,2,FALSE)))</f>
        <v xml:space="preserve">High strategic significance </v>
      </c>
      <c r="L143" s="368">
        <f>IF(J143="","",IF(VLOOKUP(J143,'G-3 Multipliers'!$L$3:$N$6,3,FALSE)=0,"Spatial Data Missing ⚠",VLOOKUP(J143,'G-3 Multipliers'!$L$3:$N$6,3,FALSE)))</f>
        <v>1.1499999999999999</v>
      </c>
      <c r="M143" s="369" t="str">
        <f>IF(D143="","",VLOOKUP(D143,'G-6 Hedgerow Data'!$B$1:$AH$15,33,FALSE))</f>
        <v>Like for like or better</v>
      </c>
      <c r="N143" s="376">
        <f t="shared" si="16"/>
        <v>0.67481999999999998</v>
      </c>
      <c r="O143" s="32"/>
      <c r="P143" s="122">
        <v>0</v>
      </c>
      <c r="Q143" s="165">
        <v>3.2599999999999997E-2</v>
      </c>
      <c r="R143" s="393">
        <f t="shared" si="17"/>
        <v>0</v>
      </c>
      <c r="S143" s="393">
        <f t="shared" si="18"/>
        <v>0.67481999999999998</v>
      </c>
      <c r="T143" s="393">
        <f t="shared" si="19"/>
        <v>0</v>
      </c>
      <c r="U143" s="415">
        <f t="shared" si="20"/>
        <v>0</v>
      </c>
      <c r="V143" s="119" t="s">
        <v>1960</v>
      </c>
      <c r="W143" s="120"/>
      <c r="X143" s="120"/>
      <c r="AE143" s="124" t="b">
        <f t="shared" si="14"/>
        <v>0</v>
      </c>
      <c r="AF143" s="124" t="b">
        <f t="shared" si="15"/>
        <v>1</v>
      </c>
      <c r="AH143" s="124">
        <v>134</v>
      </c>
      <c r="AJ143" s="124">
        <f t="array" ref="AJ143">IFERROR(INDEX($AH$10:$AH$258, MATCH(0, IF(TRUE=$AE$10:$AE$258, COUNTIF($AJ$9:$AJ142, $AH$10:$AH$258), ""), 0)),"")</f>
        <v>161</v>
      </c>
      <c r="AK143" s="124" t="str">
        <f t="array" ref="AK143">IFERROR(INDEX($AH$10:$AH$258, MATCH(0, IF(TRUE=$AF$10:$AF$258, COUNTIF($AK$9:$AK142, $AH$10:$AH$258), ""), 0)),"")</f>
        <v/>
      </c>
      <c r="AL143" s="30" t="str">
        <f>IFERROR(INDEX('G-6 Hedgerow Data'!$BJ$3:$BJ$15,MATCH(D143,'G-6 Hedgerow Data'!$B$3:$B$15,0)),"")</f>
        <v>Hedgecond1</v>
      </c>
    </row>
    <row r="144" spans="2:38" ht="42.75" x14ac:dyDescent="0.2">
      <c r="B144" s="110">
        <v>135</v>
      </c>
      <c r="C144" s="165" t="s">
        <v>1821</v>
      </c>
      <c r="D144" s="165" t="s">
        <v>176</v>
      </c>
      <c r="E144" s="121">
        <v>0.23449999999999999</v>
      </c>
      <c r="F144" s="411" t="str">
        <f>IF(D144="","",VLOOKUP(D144,'G-6 Hedgerow Data'!$B$2:$AG$15,2,FALSE))</f>
        <v>Low</v>
      </c>
      <c r="G144" s="363">
        <f>IF(D144="","",VLOOKUP(D144,'G-6 Hedgerow Data'!$B$2:$AG$15,3,FALSE))</f>
        <v>2</v>
      </c>
      <c r="H144" s="114" t="s">
        <v>329</v>
      </c>
      <c r="I144" s="363">
        <f>IFERROR(VLOOKUP(H144,'G-1 All Habitats'!$Z$2:$AA$9,2,FALSE),"")</f>
        <v>1</v>
      </c>
      <c r="J144" s="114" t="s">
        <v>1037</v>
      </c>
      <c r="K144" s="370" t="str">
        <f>IF(J144="","",IF(VLOOKUP(J144,'G-3 Multipliers'!$L$3:$N$6,2,FALSE)=0,"Spatial Data Missing",VLOOKUP(J144,'G-3 Multipliers'!$L$3:$N$6,2,FALSE)))</f>
        <v>Low Strategic Significance</v>
      </c>
      <c r="L144" s="368">
        <f>IF(J144="","",IF(VLOOKUP(J144,'G-3 Multipliers'!$L$3:$N$6,3,FALSE)=0,"Spatial Data Missing ⚠",VLOOKUP(J144,'G-3 Multipliers'!$L$3:$N$6,3,FALSE)))</f>
        <v>1</v>
      </c>
      <c r="M144" s="369" t="str">
        <f>IF(D144="","",VLOOKUP(D144,'G-6 Hedgerow Data'!$B$1:$AH$15,33,FALSE))</f>
        <v>Same distinctiveness band or better</v>
      </c>
      <c r="N144" s="376">
        <f t="shared" si="16"/>
        <v>0.46899999999999997</v>
      </c>
      <c r="O144" s="32"/>
      <c r="P144" s="122">
        <v>0.22950000000000001</v>
      </c>
      <c r="Q144" s="165">
        <v>0</v>
      </c>
      <c r="R144" s="393">
        <f t="shared" si="17"/>
        <v>0.45900000000000002</v>
      </c>
      <c r="S144" s="393">
        <f t="shared" si="18"/>
        <v>0</v>
      </c>
      <c r="T144" s="393">
        <f t="shared" si="19"/>
        <v>4.9999999999999767E-3</v>
      </c>
      <c r="U144" s="415">
        <f t="shared" si="20"/>
        <v>9.9999999999999534E-3</v>
      </c>
      <c r="V144" s="119" t="s">
        <v>1961</v>
      </c>
      <c r="W144" s="120"/>
      <c r="X144" s="120"/>
      <c r="AE144" s="124" t="b">
        <f t="shared" si="14"/>
        <v>1</v>
      </c>
      <c r="AF144" s="124" t="b">
        <f t="shared" si="15"/>
        <v>0</v>
      </c>
      <c r="AH144" s="124">
        <v>135</v>
      </c>
      <c r="AJ144" s="124">
        <f t="array" ref="AJ144">IFERROR(INDEX($AH$10:$AH$258, MATCH(0, IF(TRUE=$AE$10:$AE$258, COUNTIF($AJ$9:$AJ143, $AH$10:$AH$258), ""), 0)),"")</f>
        <v>163</v>
      </c>
      <c r="AK144" s="124" t="str">
        <f t="array" ref="AK144">IFERROR(INDEX($AH$10:$AH$258, MATCH(0, IF(TRUE=$AF$10:$AF$258, COUNTIF($AK$9:$AK143, $AH$10:$AH$258), ""), 0)),"")</f>
        <v/>
      </c>
      <c r="AL144" s="30" t="str">
        <f>IFERROR(INDEX('G-6 Hedgerow Data'!$BJ$3:$BJ$15,MATCH(D144,'G-6 Hedgerow Data'!$B$3:$B$15,0)),"")</f>
        <v>Hedgecond1</v>
      </c>
    </row>
    <row r="145" spans="2:38" ht="42.75" x14ac:dyDescent="0.2">
      <c r="B145" s="110">
        <v>136</v>
      </c>
      <c r="C145" s="165" t="s">
        <v>1822</v>
      </c>
      <c r="D145" s="165" t="s">
        <v>171</v>
      </c>
      <c r="E145" s="121">
        <v>0.44500000000000001</v>
      </c>
      <c r="F145" s="411" t="str">
        <f>IF(D145="","",VLOOKUP(D145,'G-6 Hedgerow Data'!$B$2:$AG$15,2,FALSE))</f>
        <v>Medium</v>
      </c>
      <c r="G145" s="363">
        <f>IF(D145="","",VLOOKUP(D145,'G-6 Hedgerow Data'!$B$2:$AG$15,3,FALSE))</f>
        <v>4</v>
      </c>
      <c r="H145" s="114" t="s">
        <v>68</v>
      </c>
      <c r="I145" s="363">
        <f>IFERROR(VLOOKUP(H145,'G-1 All Habitats'!$Z$2:$AA$9,2,FALSE),"")</f>
        <v>3</v>
      </c>
      <c r="J145" s="114" t="s">
        <v>1037</v>
      </c>
      <c r="K145" s="370" t="str">
        <f>IF(J145="","",IF(VLOOKUP(J145,'G-3 Multipliers'!$L$3:$N$6,2,FALSE)=0,"Spatial Data Missing",VLOOKUP(J145,'G-3 Multipliers'!$L$3:$N$6,2,FALSE)))</f>
        <v>Low Strategic Significance</v>
      </c>
      <c r="L145" s="368">
        <f>IF(J145="","",IF(VLOOKUP(J145,'G-3 Multipliers'!$L$3:$N$6,3,FALSE)=0,"Spatial Data Missing ⚠",VLOOKUP(J145,'G-3 Multipliers'!$L$3:$N$6,3,FALSE)))</f>
        <v>1</v>
      </c>
      <c r="M145" s="369" t="str">
        <f>IF(D145="","",VLOOKUP(D145,'G-6 Hedgerow Data'!$B$1:$AH$15,33,FALSE))</f>
        <v>Same distinctiveness band or better</v>
      </c>
      <c r="N145" s="376">
        <f t="shared" si="16"/>
        <v>5.34</v>
      </c>
      <c r="O145" s="32"/>
      <c r="P145" s="122">
        <v>0.433</v>
      </c>
      <c r="Q145" s="165">
        <v>0</v>
      </c>
      <c r="R145" s="393">
        <f t="shared" si="17"/>
        <v>5.1959999999999997</v>
      </c>
      <c r="S145" s="393">
        <f t="shared" si="18"/>
        <v>0</v>
      </c>
      <c r="T145" s="393">
        <f t="shared" si="19"/>
        <v>1.2000000000000011E-2</v>
      </c>
      <c r="U145" s="415">
        <f t="shared" si="20"/>
        <v>0.14400000000000013</v>
      </c>
      <c r="V145" s="119" t="s">
        <v>1962</v>
      </c>
      <c r="W145" s="120"/>
      <c r="X145" s="120"/>
      <c r="AE145" s="124" t="b">
        <f t="shared" si="14"/>
        <v>1</v>
      </c>
      <c r="AF145" s="124" t="b">
        <f t="shared" si="15"/>
        <v>0</v>
      </c>
      <c r="AH145" s="124">
        <v>136</v>
      </c>
      <c r="AJ145" s="124">
        <f t="array" ref="AJ145">IFERROR(INDEX($AH$10:$AH$258, MATCH(0, IF(TRUE=$AE$10:$AE$258, COUNTIF($AJ$9:$AJ144, $AH$10:$AH$258), ""), 0)),"")</f>
        <v>164</v>
      </c>
      <c r="AK145" s="124" t="str">
        <f t="array" ref="AK145">IFERROR(INDEX($AH$10:$AH$258, MATCH(0, IF(TRUE=$AF$10:$AF$258, COUNTIF($AK$9:$AK144, $AH$10:$AH$258), ""), 0)),"")</f>
        <v/>
      </c>
      <c r="AL145" s="30" t="str">
        <f>IFERROR(INDEX('G-6 Hedgerow Data'!$BJ$3:$BJ$15,MATCH(D145,'G-6 Hedgerow Data'!$B$3:$B$15,0)),"")</f>
        <v>Hedgecond1</v>
      </c>
    </row>
    <row r="146" spans="2:38" ht="42.75" x14ac:dyDescent="0.2">
      <c r="B146" s="110">
        <v>137</v>
      </c>
      <c r="C146" s="165" t="s">
        <v>1823</v>
      </c>
      <c r="D146" s="165" t="s">
        <v>173</v>
      </c>
      <c r="E146" s="121">
        <v>0.73240000000000005</v>
      </c>
      <c r="F146" s="411" t="str">
        <f>IF(D146="","",VLOOKUP(D146,'G-6 Hedgerow Data'!$B$2:$AG$15,2,FALSE))</f>
        <v>Medium</v>
      </c>
      <c r="G146" s="363">
        <f>IF(D146="","",VLOOKUP(D146,'G-6 Hedgerow Data'!$B$2:$AG$15,3,FALSE))</f>
        <v>4</v>
      </c>
      <c r="H146" s="114" t="s">
        <v>329</v>
      </c>
      <c r="I146" s="363">
        <f>IFERROR(VLOOKUP(H146,'G-1 All Habitats'!$Z$2:$AA$9,2,FALSE),"")</f>
        <v>1</v>
      </c>
      <c r="J146" s="114" t="s">
        <v>1037</v>
      </c>
      <c r="K146" s="370" t="str">
        <f>IF(J146="","",IF(VLOOKUP(J146,'G-3 Multipliers'!$L$3:$N$6,2,FALSE)=0,"Spatial Data Missing",VLOOKUP(J146,'G-3 Multipliers'!$L$3:$N$6,2,FALSE)))</f>
        <v>Low Strategic Significance</v>
      </c>
      <c r="L146" s="368">
        <f>IF(J146="","",IF(VLOOKUP(J146,'G-3 Multipliers'!$L$3:$N$6,3,FALSE)=0,"Spatial Data Missing ⚠",VLOOKUP(J146,'G-3 Multipliers'!$L$3:$N$6,3,FALSE)))</f>
        <v>1</v>
      </c>
      <c r="M146" s="369" t="str">
        <f>IF(D146="","",VLOOKUP(D146,'G-6 Hedgerow Data'!$B$1:$AH$15,33,FALSE))</f>
        <v>Same distinctiveness band or better</v>
      </c>
      <c r="N146" s="376">
        <f t="shared" si="16"/>
        <v>2.9296000000000002</v>
      </c>
      <c r="O146" s="32"/>
      <c r="P146" s="122">
        <v>0.2959</v>
      </c>
      <c r="Q146" s="165">
        <v>0.4365</v>
      </c>
      <c r="R146" s="393">
        <f t="shared" si="17"/>
        <v>1.1836</v>
      </c>
      <c r="S146" s="393">
        <f t="shared" si="18"/>
        <v>1.746</v>
      </c>
      <c r="T146" s="393">
        <f t="shared" si="19"/>
        <v>5.5511151231257827E-17</v>
      </c>
      <c r="U146" s="415">
        <f t="shared" si="20"/>
        <v>2.2204460492503131E-16</v>
      </c>
      <c r="V146" s="119"/>
      <c r="W146" s="120"/>
      <c r="X146" s="120"/>
      <c r="AE146" s="124" t="b">
        <f t="shared" si="14"/>
        <v>1</v>
      </c>
      <c r="AF146" s="124" t="b">
        <f t="shared" si="15"/>
        <v>1</v>
      </c>
      <c r="AH146" s="124">
        <v>137</v>
      </c>
      <c r="AJ146" s="124">
        <f t="array" ref="AJ146">IFERROR(INDEX($AH$10:$AH$258, MATCH(0, IF(TRUE=$AE$10:$AE$258, COUNTIF($AJ$9:$AJ145, $AH$10:$AH$258), ""), 0)),"")</f>
        <v>165</v>
      </c>
      <c r="AK146" s="124" t="str">
        <f t="array" ref="AK146">IFERROR(INDEX($AH$10:$AH$258, MATCH(0, IF(TRUE=$AF$10:$AF$258, COUNTIF($AK$9:$AK145, $AH$10:$AH$258), ""), 0)),"")</f>
        <v/>
      </c>
      <c r="AL146" s="30" t="str">
        <f>IFERROR(INDEX('G-6 Hedgerow Data'!$BJ$3:$BJ$15,MATCH(D146,'G-6 Hedgerow Data'!$B$3:$B$15,0)),"")</f>
        <v>Hedgecond1</v>
      </c>
    </row>
    <row r="147" spans="2:38" ht="42.75" x14ac:dyDescent="0.2">
      <c r="B147" s="110">
        <v>138</v>
      </c>
      <c r="C147" s="165" t="s">
        <v>1824</v>
      </c>
      <c r="D147" s="165" t="s">
        <v>173</v>
      </c>
      <c r="E147" s="121">
        <v>0.13769999999999999</v>
      </c>
      <c r="F147" s="411" t="str">
        <f>IF(D147="","",VLOOKUP(D147,'G-6 Hedgerow Data'!$B$2:$AG$15,2,FALSE))</f>
        <v>Medium</v>
      </c>
      <c r="G147" s="363">
        <f>IF(D147="","",VLOOKUP(D147,'G-6 Hedgerow Data'!$B$2:$AG$15,3,FALSE))</f>
        <v>4</v>
      </c>
      <c r="H147" s="114" t="s">
        <v>68</v>
      </c>
      <c r="I147" s="363">
        <f>IFERROR(VLOOKUP(H147,'G-1 All Habitats'!$Z$2:$AA$9,2,FALSE),"")</f>
        <v>3</v>
      </c>
      <c r="J147" s="114" t="s">
        <v>1037</v>
      </c>
      <c r="K147" s="370" t="str">
        <f>IF(J147="","",IF(VLOOKUP(J147,'G-3 Multipliers'!$L$3:$N$6,2,FALSE)=0,"Spatial Data Missing",VLOOKUP(J147,'G-3 Multipliers'!$L$3:$N$6,2,FALSE)))</f>
        <v>Low Strategic Significance</v>
      </c>
      <c r="L147" s="368">
        <f>IF(J147="","",IF(VLOOKUP(J147,'G-3 Multipliers'!$L$3:$N$6,3,FALSE)=0,"Spatial Data Missing ⚠",VLOOKUP(J147,'G-3 Multipliers'!$L$3:$N$6,3,FALSE)))</f>
        <v>1</v>
      </c>
      <c r="M147" s="369" t="str">
        <f>IF(D147="","",VLOOKUP(D147,'G-6 Hedgerow Data'!$B$1:$AH$15,33,FALSE))</f>
        <v>Same distinctiveness band or better</v>
      </c>
      <c r="N147" s="376">
        <f t="shared" si="16"/>
        <v>1.6523999999999999</v>
      </c>
      <c r="O147" s="32"/>
      <c r="P147" s="122">
        <v>0.13270000000000001</v>
      </c>
      <c r="Q147" s="165">
        <v>0</v>
      </c>
      <c r="R147" s="393">
        <f t="shared" si="17"/>
        <v>1.5924</v>
      </c>
      <c r="S147" s="393">
        <f t="shared" si="18"/>
        <v>0</v>
      </c>
      <c r="T147" s="393">
        <f t="shared" si="19"/>
        <v>4.9999999999999767E-3</v>
      </c>
      <c r="U147" s="415">
        <f t="shared" si="20"/>
        <v>5.9999999999999831E-2</v>
      </c>
      <c r="V147" s="119" t="s">
        <v>1963</v>
      </c>
      <c r="W147" s="120"/>
      <c r="X147" s="120"/>
      <c r="AE147" s="124" t="b">
        <f t="shared" si="14"/>
        <v>1</v>
      </c>
      <c r="AF147" s="124" t="b">
        <f t="shared" si="15"/>
        <v>0</v>
      </c>
      <c r="AH147" s="124">
        <v>138</v>
      </c>
      <c r="AJ147" s="124">
        <f t="array" ref="AJ147">IFERROR(INDEX($AH$10:$AH$258, MATCH(0, IF(TRUE=$AE$10:$AE$258, COUNTIF($AJ$9:$AJ146, $AH$10:$AH$258), ""), 0)),"")</f>
        <v>166</v>
      </c>
      <c r="AK147" s="124" t="str">
        <f t="array" ref="AK147">IFERROR(INDEX($AH$10:$AH$258, MATCH(0, IF(TRUE=$AF$10:$AF$258, COUNTIF($AK$9:$AK146, $AH$10:$AH$258), ""), 0)),"")</f>
        <v/>
      </c>
      <c r="AL147" s="30" t="str">
        <f>IFERROR(INDEX('G-6 Hedgerow Data'!$BJ$3:$BJ$15,MATCH(D147,'G-6 Hedgerow Data'!$B$3:$B$15,0)),"")</f>
        <v>Hedgecond1</v>
      </c>
    </row>
    <row r="148" spans="2:38" ht="42.75" x14ac:dyDescent="0.2">
      <c r="B148" s="110">
        <v>139</v>
      </c>
      <c r="C148" s="165" t="s">
        <v>1825</v>
      </c>
      <c r="D148" s="165" t="s">
        <v>171</v>
      </c>
      <c r="E148" s="121">
        <v>0.38300000000000001</v>
      </c>
      <c r="F148" s="411" t="str">
        <f>IF(D148="","",VLOOKUP(D148,'G-6 Hedgerow Data'!$B$2:$AG$15,2,FALSE))</f>
        <v>Medium</v>
      </c>
      <c r="G148" s="363">
        <f>IF(D148="","",VLOOKUP(D148,'G-6 Hedgerow Data'!$B$2:$AG$15,3,FALSE))</f>
        <v>4</v>
      </c>
      <c r="H148" s="114" t="s">
        <v>68</v>
      </c>
      <c r="I148" s="363">
        <f>IFERROR(VLOOKUP(H148,'G-1 All Habitats'!$Z$2:$AA$9,2,FALSE),"")</f>
        <v>3</v>
      </c>
      <c r="J148" s="114" t="s">
        <v>1037</v>
      </c>
      <c r="K148" s="370" t="str">
        <f>IF(J148="","",IF(VLOOKUP(J148,'G-3 Multipliers'!$L$3:$N$6,2,FALSE)=0,"Spatial Data Missing",VLOOKUP(J148,'G-3 Multipliers'!$L$3:$N$6,2,FALSE)))</f>
        <v>Low Strategic Significance</v>
      </c>
      <c r="L148" s="368">
        <f>IF(J148="","",IF(VLOOKUP(J148,'G-3 Multipliers'!$L$3:$N$6,3,FALSE)=0,"Spatial Data Missing ⚠",VLOOKUP(J148,'G-3 Multipliers'!$L$3:$N$6,3,FALSE)))</f>
        <v>1</v>
      </c>
      <c r="M148" s="369" t="str">
        <f>IF(D148="","",VLOOKUP(D148,'G-6 Hedgerow Data'!$B$1:$AH$15,33,FALSE))</f>
        <v>Same distinctiveness band or better</v>
      </c>
      <c r="N148" s="376">
        <f t="shared" si="16"/>
        <v>4.5960000000000001</v>
      </c>
      <c r="O148" s="32"/>
      <c r="P148" s="122">
        <v>0.38300000000000001</v>
      </c>
      <c r="Q148" s="165">
        <v>0</v>
      </c>
      <c r="R148" s="393">
        <f t="shared" si="17"/>
        <v>4.5960000000000001</v>
      </c>
      <c r="S148" s="393">
        <f t="shared" si="18"/>
        <v>0</v>
      </c>
      <c r="T148" s="393">
        <f t="shared" si="19"/>
        <v>0</v>
      </c>
      <c r="U148" s="415">
        <f t="shared" si="20"/>
        <v>0</v>
      </c>
      <c r="V148" s="119"/>
      <c r="W148" s="120"/>
      <c r="X148" s="120"/>
      <c r="AE148" s="124" t="b">
        <f t="shared" si="14"/>
        <v>1</v>
      </c>
      <c r="AF148" s="124" t="b">
        <f t="shared" si="15"/>
        <v>0</v>
      </c>
      <c r="AH148" s="124">
        <v>139</v>
      </c>
      <c r="AJ148" s="124">
        <f t="array" ref="AJ148">IFERROR(INDEX($AH$10:$AH$258, MATCH(0, IF(TRUE=$AE$10:$AE$258, COUNTIF($AJ$9:$AJ147, $AH$10:$AH$258), ""), 0)),"")</f>
        <v>167</v>
      </c>
      <c r="AK148" s="124" t="str">
        <f t="array" ref="AK148">IFERROR(INDEX($AH$10:$AH$258, MATCH(0, IF(TRUE=$AF$10:$AF$258, COUNTIF($AK$9:$AK147, $AH$10:$AH$258), ""), 0)),"")</f>
        <v/>
      </c>
      <c r="AL148" s="30" t="str">
        <f>IFERROR(INDEX('G-6 Hedgerow Data'!$BJ$3:$BJ$15,MATCH(D148,'G-6 Hedgerow Data'!$B$3:$B$15,0)),"")</f>
        <v>Hedgecond1</v>
      </c>
    </row>
    <row r="149" spans="2:38" ht="28.5" x14ac:dyDescent="0.2">
      <c r="B149" s="110">
        <v>140</v>
      </c>
      <c r="C149" s="165" t="s">
        <v>1826</v>
      </c>
      <c r="D149" s="165" t="s">
        <v>168</v>
      </c>
      <c r="E149" s="121">
        <v>0.43209999999999998</v>
      </c>
      <c r="F149" s="411" t="str">
        <f>IF(D149="","",VLOOKUP(D149,'G-6 Hedgerow Data'!$B$2:$AG$15,2,FALSE))</f>
        <v>High</v>
      </c>
      <c r="G149" s="363">
        <f>IF(D149="","",VLOOKUP(D149,'G-6 Hedgerow Data'!$B$2:$AG$15,3,FALSE))</f>
        <v>6</v>
      </c>
      <c r="H149" s="114" t="s">
        <v>68</v>
      </c>
      <c r="I149" s="363">
        <f>IFERROR(VLOOKUP(H149,'G-1 All Habitats'!$Z$2:$AA$9,2,FALSE),"")</f>
        <v>3</v>
      </c>
      <c r="J149" s="114" t="s">
        <v>1037</v>
      </c>
      <c r="K149" s="370" t="str">
        <f>IF(J149="","",IF(VLOOKUP(J149,'G-3 Multipliers'!$L$3:$N$6,2,FALSE)=0,"Spatial Data Missing",VLOOKUP(J149,'G-3 Multipliers'!$L$3:$N$6,2,FALSE)))</f>
        <v>Low Strategic Significance</v>
      </c>
      <c r="L149" s="368">
        <f>IF(J149="","",IF(VLOOKUP(J149,'G-3 Multipliers'!$L$3:$N$6,3,FALSE)=0,"Spatial Data Missing ⚠",VLOOKUP(J149,'G-3 Multipliers'!$L$3:$N$6,3,FALSE)))</f>
        <v>1</v>
      </c>
      <c r="M149" s="369" t="str">
        <f>IF(D149="","",VLOOKUP(D149,'G-6 Hedgerow Data'!$B$1:$AH$15,33,FALSE))</f>
        <v>Like for like or better</v>
      </c>
      <c r="N149" s="376">
        <f t="shared" si="16"/>
        <v>7.7778</v>
      </c>
      <c r="O149" s="32"/>
      <c r="P149" s="122">
        <v>0.42709999999999998</v>
      </c>
      <c r="Q149" s="165">
        <v>0</v>
      </c>
      <c r="R149" s="393">
        <f t="shared" si="17"/>
        <v>7.6877999999999993</v>
      </c>
      <c r="S149" s="393">
        <f t="shared" si="18"/>
        <v>0</v>
      </c>
      <c r="T149" s="393">
        <f t="shared" si="19"/>
        <v>5.0000000000000044E-3</v>
      </c>
      <c r="U149" s="415">
        <f t="shared" si="20"/>
        <v>9.0000000000000746E-2</v>
      </c>
      <c r="V149" s="119" t="s">
        <v>1964</v>
      </c>
      <c r="W149" s="120"/>
      <c r="X149" s="120"/>
      <c r="AE149" s="124" t="b">
        <f t="shared" si="14"/>
        <v>1</v>
      </c>
      <c r="AF149" s="124" t="b">
        <f t="shared" si="15"/>
        <v>0</v>
      </c>
      <c r="AH149" s="124">
        <v>140</v>
      </c>
      <c r="AJ149" s="124">
        <f t="array" ref="AJ149">IFERROR(INDEX($AH$10:$AH$258, MATCH(0, IF(TRUE=$AE$10:$AE$258, COUNTIF($AJ$9:$AJ148, $AH$10:$AH$258), ""), 0)),"")</f>
        <v>168</v>
      </c>
      <c r="AK149" s="124" t="str">
        <f t="array" ref="AK149">IFERROR(INDEX($AH$10:$AH$258, MATCH(0, IF(TRUE=$AF$10:$AF$258, COUNTIF($AK$9:$AK148, $AH$10:$AH$258), ""), 0)),"")</f>
        <v/>
      </c>
      <c r="AL149" s="30" t="str">
        <f>IFERROR(INDEX('G-6 Hedgerow Data'!$BJ$3:$BJ$15,MATCH(D149,'G-6 Hedgerow Data'!$B$3:$B$15,0)),"")</f>
        <v>Hedgecond1</v>
      </c>
    </row>
    <row r="150" spans="2:38" ht="28.5" x14ac:dyDescent="0.2">
      <c r="B150" s="110">
        <v>141</v>
      </c>
      <c r="C150" s="165" t="s">
        <v>1827</v>
      </c>
      <c r="D150" s="165" t="s">
        <v>168</v>
      </c>
      <c r="E150" s="121">
        <v>0.24759999999999999</v>
      </c>
      <c r="F150" s="411" t="str">
        <f>IF(D150="","",VLOOKUP(D150,'G-6 Hedgerow Data'!$B$2:$AG$15,2,FALSE))</f>
        <v>High</v>
      </c>
      <c r="G150" s="363">
        <f>IF(D150="","",VLOOKUP(D150,'G-6 Hedgerow Data'!$B$2:$AG$15,3,FALSE))</f>
        <v>6</v>
      </c>
      <c r="H150" s="114" t="s">
        <v>67</v>
      </c>
      <c r="I150" s="363">
        <f>IFERROR(VLOOKUP(H150,'G-1 All Habitats'!$Z$2:$AA$9,2,FALSE),"")</f>
        <v>2</v>
      </c>
      <c r="J150" s="114" t="s">
        <v>1037</v>
      </c>
      <c r="K150" s="370" t="str">
        <f>IF(J150="","",IF(VLOOKUP(J150,'G-3 Multipliers'!$L$3:$N$6,2,FALSE)=0,"Spatial Data Missing",VLOOKUP(J150,'G-3 Multipliers'!$L$3:$N$6,2,FALSE)))</f>
        <v>Low Strategic Significance</v>
      </c>
      <c r="L150" s="368">
        <f>IF(J150="","",IF(VLOOKUP(J150,'G-3 Multipliers'!$L$3:$N$6,3,FALSE)=0,"Spatial Data Missing ⚠",VLOOKUP(J150,'G-3 Multipliers'!$L$3:$N$6,3,FALSE)))</f>
        <v>1</v>
      </c>
      <c r="M150" s="369" t="str">
        <f>IF(D150="","",VLOOKUP(D150,'G-6 Hedgerow Data'!$B$1:$AH$15,33,FALSE))</f>
        <v>Like for like or better</v>
      </c>
      <c r="N150" s="376">
        <f t="shared" si="16"/>
        <v>2.9711999999999996</v>
      </c>
      <c r="O150" s="32"/>
      <c r="P150" s="122">
        <v>0.24759999999999999</v>
      </c>
      <c r="Q150" s="165">
        <v>0</v>
      </c>
      <c r="R150" s="393">
        <f t="shared" si="17"/>
        <v>2.9711999999999996</v>
      </c>
      <c r="S150" s="393">
        <f t="shared" si="18"/>
        <v>0</v>
      </c>
      <c r="T150" s="393">
        <f t="shared" si="19"/>
        <v>0</v>
      </c>
      <c r="U150" s="415">
        <f t="shared" si="20"/>
        <v>0</v>
      </c>
      <c r="V150" s="119"/>
      <c r="W150" s="120"/>
      <c r="X150" s="120"/>
      <c r="AE150" s="124" t="b">
        <f t="shared" si="14"/>
        <v>1</v>
      </c>
      <c r="AF150" s="124" t="b">
        <f t="shared" si="15"/>
        <v>0</v>
      </c>
      <c r="AH150" s="124">
        <v>141</v>
      </c>
      <c r="AJ150" s="124">
        <f t="array" ref="AJ150">IFERROR(INDEX($AH$10:$AH$258, MATCH(0, IF(TRUE=$AE$10:$AE$258, COUNTIF($AJ$9:$AJ149, $AH$10:$AH$258), ""), 0)),"")</f>
        <v>169</v>
      </c>
      <c r="AK150" s="124" t="str">
        <f t="array" ref="AK150">IFERROR(INDEX($AH$10:$AH$258, MATCH(0, IF(TRUE=$AF$10:$AF$258, COUNTIF($AK$9:$AK149, $AH$10:$AH$258), ""), 0)),"")</f>
        <v/>
      </c>
      <c r="AL150" s="30" t="str">
        <f>IFERROR(INDEX('G-6 Hedgerow Data'!$BJ$3:$BJ$15,MATCH(D150,'G-6 Hedgerow Data'!$B$3:$B$15,0)),"")</f>
        <v>Hedgecond1</v>
      </c>
    </row>
    <row r="151" spans="2:38" ht="42.75" x14ac:dyDescent="0.2">
      <c r="B151" s="110">
        <v>142</v>
      </c>
      <c r="C151" s="165" t="s">
        <v>1828</v>
      </c>
      <c r="D151" s="165" t="s">
        <v>176</v>
      </c>
      <c r="E151" s="121">
        <v>0.19389999999999999</v>
      </c>
      <c r="F151" s="411" t="str">
        <f>IF(D151="","",VLOOKUP(D151,'G-6 Hedgerow Data'!$B$2:$AG$15,2,FALSE))</f>
        <v>Low</v>
      </c>
      <c r="G151" s="363">
        <f>IF(D151="","",VLOOKUP(D151,'G-6 Hedgerow Data'!$B$2:$AG$15,3,FALSE))</f>
        <v>2</v>
      </c>
      <c r="H151" s="114" t="s">
        <v>67</v>
      </c>
      <c r="I151" s="363">
        <f>IFERROR(VLOOKUP(H151,'G-1 All Habitats'!$Z$2:$AA$9,2,FALSE),"")</f>
        <v>2</v>
      </c>
      <c r="J151" s="114" t="s">
        <v>1037</v>
      </c>
      <c r="K151" s="370" t="str">
        <f>IF(J151="","",IF(VLOOKUP(J151,'G-3 Multipliers'!$L$3:$N$6,2,FALSE)=0,"Spatial Data Missing",VLOOKUP(J151,'G-3 Multipliers'!$L$3:$N$6,2,FALSE)))</f>
        <v>Low Strategic Significance</v>
      </c>
      <c r="L151" s="368">
        <f>IF(J151="","",IF(VLOOKUP(J151,'G-3 Multipliers'!$L$3:$N$6,3,FALSE)=0,"Spatial Data Missing ⚠",VLOOKUP(J151,'G-3 Multipliers'!$L$3:$N$6,3,FALSE)))</f>
        <v>1</v>
      </c>
      <c r="M151" s="369" t="str">
        <f>IF(D151="","",VLOOKUP(D151,'G-6 Hedgerow Data'!$B$1:$AH$15,33,FALSE))</f>
        <v>Same distinctiveness band or better</v>
      </c>
      <c r="N151" s="376">
        <f t="shared" si="16"/>
        <v>0.77559999999999996</v>
      </c>
      <c r="O151" s="32"/>
      <c r="P151" s="122">
        <v>0.19389999999999999</v>
      </c>
      <c r="Q151" s="165">
        <v>0</v>
      </c>
      <c r="R151" s="393">
        <f t="shared" si="17"/>
        <v>0.77559999999999996</v>
      </c>
      <c r="S151" s="393">
        <f t="shared" si="18"/>
        <v>0</v>
      </c>
      <c r="T151" s="393">
        <f t="shared" si="19"/>
        <v>0</v>
      </c>
      <c r="U151" s="415">
        <f t="shared" si="20"/>
        <v>0</v>
      </c>
      <c r="V151" s="119"/>
      <c r="W151" s="120"/>
      <c r="X151" s="120"/>
      <c r="AE151" s="124" t="b">
        <f t="shared" si="14"/>
        <v>1</v>
      </c>
      <c r="AF151" s="124" t="b">
        <f t="shared" si="15"/>
        <v>0</v>
      </c>
      <c r="AH151" s="124">
        <v>142</v>
      </c>
      <c r="AJ151" s="124">
        <f t="array" ref="AJ151">IFERROR(INDEX($AH$10:$AH$258, MATCH(0, IF(TRUE=$AE$10:$AE$258, COUNTIF($AJ$9:$AJ150, $AH$10:$AH$258), ""), 0)),"")</f>
        <v>170</v>
      </c>
      <c r="AK151" s="124" t="str">
        <f t="array" ref="AK151">IFERROR(INDEX($AH$10:$AH$258, MATCH(0, IF(TRUE=$AF$10:$AF$258, COUNTIF($AK$9:$AK150, $AH$10:$AH$258), ""), 0)),"")</f>
        <v/>
      </c>
      <c r="AL151" s="30" t="str">
        <f>IFERROR(INDEX('G-6 Hedgerow Data'!$BJ$3:$BJ$15,MATCH(D151,'G-6 Hedgerow Data'!$B$3:$B$15,0)),"")</f>
        <v>Hedgecond1</v>
      </c>
    </row>
    <row r="152" spans="2:38" ht="42.75" x14ac:dyDescent="0.2">
      <c r="B152" s="110">
        <v>143</v>
      </c>
      <c r="C152" s="165" t="s">
        <v>1829</v>
      </c>
      <c r="D152" s="165" t="s">
        <v>173</v>
      </c>
      <c r="E152" s="121">
        <v>9.0499999999999997E-2</v>
      </c>
      <c r="F152" s="411" t="str">
        <f>IF(D152="","",VLOOKUP(D152,'G-6 Hedgerow Data'!$B$2:$AG$15,2,FALSE))</f>
        <v>Medium</v>
      </c>
      <c r="G152" s="363">
        <f>IF(D152="","",VLOOKUP(D152,'G-6 Hedgerow Data'!$B$2:$AG$15,3,FALSE))</f>
        <v>4</v>
      </c>
      <c r="H152" s="114" t="s">
        <v>67</v>
      </c>
      <c r="I152" s="363">
        <f>IFERROR(VLOOKUP(H152,'G-1 All Habitats'!$Z$2:$AA$9,2,FALSE),"")</f>
        <v>2</v>
      </c>
      <c r="J152" s="114" t="s">
        <v>1037</v>
      </c>
      <c r="K152" s="370" t="str">
        <f>IF(J152="","",IF(VLOOKUP(J152,'G-3 Multipliers'!$L$3:$N$6,2,FALSE)=0,"Spatial Data Missing",VLOOKUP(J152,'G-3 Multipliers'!$L$3:$N$6,2,FALSE)))</f>
        <v>Low Strategic Significance</v>
      </c>
      <c r="L152" s="368">
        <f>IF(J152="","",IF(VLOOKUP(J152,'G-3 Multipliers'!$L$3:$N$6,3,FALSE)=0,"Spatial Data Missing ⚠",VLOOKUP(J152,'G-3 Multipliers'!$L$3:$N$6,3,FALSE)))</f>
        <v>1</v>
      </c>
      <c r="M152" s="369" t="str">
        <f>IF(D152="","",VLOOKUP(D152,'G-6 Hedgerow Data'!$B$1:$AH$15,33,FALSE))</f>
        <v>Same distinctiveness band or better</v>
      </c>
      <c r="N152" s="376">
        <f t="shared" si="16"/>
        <v>0.72399999999999998</v>
      </c>
      <c r="O152" s="32"/>
      <c r="P152" s="122">
        <v>9.0499999999999997E-2</v>
      </c>
      <c r="Q152" s="165">
        <v>0</v>
      </c>
      <c r="R152" s="393">
        <f t="shared" si="17"/>
        <v>0.72399999999999998</v>
      </c>
      <c r="S152" s="393">
        <f t="shared" si="18"/>
        <v>0</v>
      </c>
      <c r="T152" s="393">
        <f t="shared" si="19"/>
        <v>0</v>
      </c>
      <c r="U152" s="415">
        <f t="shared" si="20"/>
        <v>0</v>
      </c>
      <c r="V152" s="119"/>
      <c r="W152" s="120"/>
      <c r="X152" s="120"/>
      <c r="AE152" s="124" t="b">
        <f t="shared" si="14"/>
        <v>1</v>
      </c>
      <c r="AF152" s="124" t="b">
        <f t="shared" si="15"/>
        <v>0</v>
      </c>
      <c r="AH152" s="124">
        <v>143</v>
      </c>
      <c r="AJ152" s="124">
        <f t="array" ref="AJ152">IFERROR(INDEX($AH$10:$AH$258, MATCH(0, IF(TRUE=$AE$10:$AE$258, COUNTIF($AJ$9:$AJ151, $AH$10:$AH$258), ""), 0)),"")</f>
        <v>171</v>
      </c>
      <c r="AK152" s="124" t="str">
        <f t="array" ref="AK152">IFERROR(INDEX($AH$10:$AH$258, MATCH(0, IF(TRUE=$AF$10:$AF$258, COUNTIF($AK$9:$AK151, $AH$10:$AH$258), ""), 0)),"")</f>
        <v/>
      </c>
      <c r="AL152" s="30" t="str">
        <f>IFERROR(INDEX('G-6 Hedgerow Data'!$BJ$3:$BJ$15,MATCH(D152,'G-6 Hedgerow Data'!$B$3:$B$15,0)),"")</f>
        <v>Hedgecond1</v>
      </c>
    </row>
    <row r="153" spans="2:38" ht="42.75" x14ac:dyDescent="0.2">
      <c r="B153" s="110">
        <v>144</v>
      </c>
      <c r="C153" s="165" t="s">
        <v>1830</v>
      </c>
      <c r="D153" s="165" t="s">
        <v>173</v>
      </c>
      <c r="E153" s="121">
        <v>9.4500000000000001E-2</v>
      </c>
      <c r="F153" s="411" t="str">
        <f>IF(D153="","",VLOOKUP(D153,'G-6 Hedgerow Data'!$B$2:$AG$15,2,FALSE))</f>
        <v>Medium</v>
      </c>
      <c r="G153" s="363">
        <f>IF(D153="","",VLOOKUP(D153,'G-6 Hedgerow Data'!$B$2:$AG$15,3,FALSE))</f>
        <v>4</v>
      </c>
      <c r="H153" s="114" t="s">
        <v>67</v>
      </c>
      <c r="I153" s="363">
        <f>IFERROR(VLOOKUP(H153,'G-1 All Habitats'!$Z$2:$AA$9,2,FALSE),"")</f>
        <v>2</v>
      </c>
      <c r="J153" s="114" t="s">
        <v>1037</v>
      </c>
      <c r="K153" s="370" t="str">
        <f>IF(J153="","",IF(VLOOKUP(J153,'G-3 Multipliers'!$L$3:$N$6,2,FALSE)=0,"Spatial Data Missing",VLOOKUP(J153,'G-3 Multipliers'!$L$3:$N$6,2,FALSE)))</f>
        <v>Low Strategic Significance</v>
      </c>
      <c r="L153" s="368">
        <f>IF(J153="","",IF(VLOOKUP(J153,'G-3 Multipliers'!$L$3:$N$6,3,FALSE)=0,"Spatial Data Missing ⚠",VLOOKUP(J153,'G-3 Multipliers'!$L$3:$N$6,3,FALSE)))</f>
        <v>1</v>
      </c>
      <c r="M153" s="369" t="str">
        <f>IF(D153="","",VLOOKUP(D153,'G-6 Hedgerow Data'!$B$1:$AH$15,33,FALSE))</f>
        <v>Same distinctiveness band or better</v>
      </c>
      <c r="N153" s="376">
        <f t="shared" si="16"/>
        <v>0.75600000000000001</v>
      </c>
      <c r="O153" s="32"/>
      <c r="P153" s="122">
        <v>9.4500000000000001E-2</v>
      </c>
      <c r="Q153" s="165">
        <v>0</v>
      </c>
      <c r="R153" s="393">
        <f t="shared" si="17"/>
        <v>0.75600000000000001</v>
      </c>
      <c r="S153" s="393">
        <f t="shared" si="18"/>
        <v>0</v>
      </c>
      <c r="T153" s="393">
        <f t="shared" si="19"/>
        <v>0</v>
      </c>
      <c r="U153" s="415">
        <f t="shared" si="20"/>
        <v>0</v>
      </c>
      <c r="V153" s="119"/>
      <c r="W153" s="120"/>
      <c r="X153" s="120"/>
      <c r="AE153" s="124" t="b">
        <f t="shared" si="14"/>
        <v>1</v>
      </c>
      <c r="AF153" s="124" t="b">
        <f t="shared" si="15"/>
        <v>0</v>
      </c>
      <c r="AH153" s="124">
        <v>144</v>
      </c>
      <c r="AJ153" s="124">
        <f t="array" ref="AJ153">IFERROR(INDEX($AH$10:$AH$258, MATCH(0, IF(TRUE=$AE$10:$AE$258, COUNTIF($AJ$9:$AJ152, $AH$10:$AH$258), ""), 0)),"")</f>
        <v>172</v>
      </c>
      <c r="AK153" s="124" t="str">
        <f t="array" ref="AK153">IFERROR(INDEX($AH$10:$AH$258, MATCH(0, IF(TRUE=$AF$10:$AF$258, COUNTIF($AK$9:$AK152, $AH$10:$AH$258), ""), 0)),"")</f>
        <v/>
      </c>
      <c r="AL153" s="30" t="str">
        <f>IFERROR(INDEX('G-6 Hedgerow Data'!$BJ$3:$BJ$15,MATCH(D153,'G-6 Hedgerow Data'!$B$3:$B$15,0)),"")</f>
        <v>Hedgecond1</v>
      </c>
    </row>
    <row r="154" spans="2:38" ht="28.5" x14ac:dyDescent="0.2">
      <c r="B154" s="110">
        <v>145</v>
      </c>
      <c r="C154" s="165" t="s">
        <v>1831</v>
      </c>
      <c r="D154" s="165" t="s">
        <v>168</v>
      </c>
      <c r="E154" s="121">
        <v>0.30840000000000001</v>
      </c>
      <c r="F154" s="411" t="str">
        <f>IF(D154="","",VLOOKUP(D154,'G-6 Hedgerow Data'!$B$2:$AG$15,2,FALSE))</f>
        <v>High</v>
      </c>
      <c r="G154" s="363">
        <f>IF(D154="","",VLOOKUP(D154,'G-6 Hedgerow Data'!$B$2:$AG$15,3,FALSE))</f>
        <v>6</v>
      </c>
      <c r="H154" s="114" t="s">
        <v>68</v>
      </c>
      <c r="I154" s="363">
        <f>IFERROR(VLOOKUP(H154,'G-1 All Habitats'!$Z$2:$AA$9,2,FALSE),"")</f>
        <v>3</v>
      </c>
      <c r="J154" s="114" t="s">
        <v>1037</v>
      </c>
      <c r="K154" s="370" t="str">
        <f>IF(J154="","",IF(VLOOKUP(J154,'G-3 Multipliers'!$L$3:$N$6,2,FALSE)=0,"Spatial Data Missing",VLOOKUP(J154,'G-3 Multipliers'!$L$3:$N$6,2,FALSE)))</f>
        <v>Low Strategic Significance</v>
      </c>
      <c r="L154" s="368">
        <f>IF(J154="","",IF(VLOOKUP(J154,'G-3 Multipliers'!$L$3:$N$6,3,FALSE)=0,"Spatial Data Missing ⚠",VLOOKUP(J154,'G-3 Multipliers'!$L$3:$N$6,3,FALSE)))</f>
        <v>1</v>
      </c>
      <c r="M154" s="369" t="str">
        <f>IF(D154="","",VLOOKUP(D154,'G-6 Hedgerow Data'!$B$1:$AH$15,33,FALSE))</f>
        <v>Like for like or better</v>
      </c>
      <c r="N154" s="376">
        <f t="shared" si="16"/>
        <v>5.5511999999999997</v>
      </c>
      <c r="O154" s="32"/>
      <c r="P154" s="122">
        <v>0.30840000000000001</v>
      </c>
      <c r="Q154" s="165">
        <v>0</v>
      </c>
      <c r="R154" s="393">
        <f t="shared" si="17"/>
        <v>5.5511999999999997</v>
      </c>
      <c r="S154" s="393">
        <f t="shared" si="18"/>
        <v>0</v>
      </c>
      <c r="T154" s="393">
        <f t="shared" si="19"/>
        <v>0</v>
      </c>
      <c r="U154" s="415">
        <f t="shared" si="20"/>
        <v>0</v>
      </c>
      <c r="V154" s="119"/>
      <c r="W154" s="120"/>
      <c r="X154" s="120"/>
      <c r="AE154" s="124" t="b">
        <f t="shared" si="14"/>
        <v>1</v>
      </c>
      <c r="AF154" s="124" t="b">
        <f t="shared" si="15"/>
        <v>0</v>
      </c>
      <c r="AH154" s="124">
        <v>145</v>
      </c>
      <c r="AJ154" s="124">
        <f t="array" ref="AJ154">IFERROR(INDEX($AH$10:$AH$258, MATCH(0, IF(TRUE=$AE$10:$AE$258, COUNTIF($AJ$9:$AJ153, $AH$10:$AH$258), ""), 0)),"")</f>
        <v>173</v>
      </c>
      <c r="AK154" s="124" t="str">
        <f t="array" ref="AK154">IFERROR(INDEX($AH$10:$AH$258, MATCH(0, IF(TRUE=$AF$10:$AF$258, COUNTIF($AK$9:$AK153, $AH$10:$AH$258), ""), 0)),"")</f>
        <v/>
      </c>
      <c r="AL154" s="30" t="str">
        <f>IFERROR(INDEX('G-6 Hedgerow Data'!$BJ$3:$BJ$15,MATCH(D154,'G-6 Hedgerow Data'!$B$3:$B$15,0)),"")</f>
        <v>Hedgecond1</v>
      </c>
    </row>
    <row r="155" spans="2:38" ht="28.5" x14ac:dyDescent="0.2">
      <c r="B155" s="110">
        <v>146</v>
      </c>
      <c r="C155" s="165" t="s">
        <v>1832</v>
      </c>
      <c r="D155" s="165" t="s">
        <v>168</v>
      </c>
      <c r="E155" s="121">
        <v>1.55E-2</v>
      </c>
      <c r="F155" s="411" t="str">
        <f>IF(D155="","",VLOOKUP(D155,'G-6 Hedgerow Data'!$B$2:$AG$15,2,FALSE))</f>
        <v>High</v>
      </c>
      <c r="G155" s="363">
        <f>IF(D155="","",VLOOKUP(D155,'G-6 Hedgerow Data'!$B$2:$AG$15,3,FALSE))</f>
        <v>6</v>
      </c>
      <c r="H155" s="114" t="s">
        <v>68</v>
      </c>
      <c r="I155" s="363">
        <f>IFERROR(VLOOKUP(H155,'G-1 All Habitats'!$Z$2:$AA$9,2,FALSE),"")</f>
        <v>3</v>
      </c>
      <c r="J155" s="114" t="s">
        <v>1029</v>
      </c>
      <c r="K155" s="370" t="str">
        <f>IF(J155="","",IF(VLOOKUP(J155,'G-3 Multipliers'!$L$3:$N$6,2,FALSE)=0,"Spatial Data Missing",VLOOKUP(J155,'G-3 Multipliers'!$L$3:$N$6,2,FALSE)))</f>
        <v xml:space="preserve">High strategic significance </v>
      </c>
      <c r="L155" s="368">
        <f>IF(J155="","",IF(VLOOKUP(J155,'G-3 Multipliers'!$L$3:$N$6,3,FALSE)=0,"Spatial Data Missing ⚠",VLOOKUP(J155,'G-3 Multipliers'!$L$3:$N$6,3,FALSE)))</f>
        <v>1.1499999999999999</v>
      </c>
      <c r="M155" s="369" t="str">
        <f>IF(D155="","",VLOOKUP(D155,'G-6 Hedgerow Data'!$B$1:$AH$15,33,FALSE))</f>
        <v>Like for like or better</v>
      </c>
      <c r="N155" s="376">
        <f t="shared" si="16"/>
        <v>0.32085000000000002</v>
      </c>
      <c r="O155" s="32"/>
      <c r="P155" s="122">
        <v>1.55E-2</v>
      </c>
      <c r="Q155" s="165">
        <v>0</v>
      </c>
      <c r="R155" s="393">
        <f t="shared" si="17"/>
        <v>0.32085000000000002</v>
      </c>
      <c r="S155" s="393">
        <f t="shared" si="18"/>
        <v>0</v>
      </c>
      <c r="T155" s="393">
        <f t="shared" si="19"/>
        <v>0</v>
      </c>
      <c r="U155" s="415">
        <f t="shared" si="20"/>
        <v>0</v>
      </c>
      <c r="V155" s="119"/>
      <c r="W155" s="120"/>
      <c r="X155" s="120"/>
      <c r="AE155" s="124" t="b">
        <f t="shared" si="14"/>
        <v>1</v>
      </c>
      <c r="AF155" s="124" t="b">
        <f t="shared" si="15"/>
        <v>0</v>
      </c>
      <c r="AH155" s="124">
        <v>146</v>
      </c>
      <c r="AJ155" s="124">
        <f t="array" ref="AJ155">IFERROR(INDEX($AH$10:$AH$258, MATCH(0, IF(TRUE=$AE$10:$AE$258, COUNTIF($AJ$9:$AJ154, $AH$10:$AH$258), ""), 0)),"")</f>
        <v>174</v>
      </c>
      <c r="AK155" s="124" t="str">
        <f t="array" ref="AK155">IFERROR(INDEX($AH$10:$AH$258, MATCH(0, IF(TRUE=$AF$10:$AF$258, COUNTIF($AK$9:$AK154, $AH$10:$AH$258), ""), 0)),"")</f>
        <v/>
      </c>
      <c r="AL155" s="30" t="str">
        <f>IFERROR(INDEX('G-6 Hedgerow Data'!$BJ$3:$BJ$15,MATCH(D155,'G-6 Hedgerow Data'!$B$3:$B$15,0)),"")</f>
        <v>Hedgecond1</v>
      </c>
    </row>
    <row r="156" spans="2:38" ht="42.75" x14ac:dyDescent="0.2">
      <c r="B156" s="110">
        <v>147</v>
      </c>
      <c r="C156" s="165" t="s">
        <v>1833</v>
      </c>
      <c r="D156" s="165" t="s">
        <v>176</v>
      </c>
      <c r="E156" s="121">
        <v>0.2082</v>
      </c>
      <c r="F156" s="411" t="str">
        <f>IF(D156="","",VLOOKUP(D156,'G-6 Hedgerow Data'!$B$2:$AG$15,2,FALSE))</f>
        <v>Low</v>
      </c>
      <c r="G156" s="363">
        <f>IF(D156="","",VLOOKUP(D156,'G-6 Hedgerow Data'!$B$2:$AG$15,3,FALSE))</f>
        <v>2</v>
      </c>
      <c r="H156" s="114" t="s">
        <v>68</v>
      </c>
      <c r="I156" s="363">
        <f>IFERROR(VLOOKUP(H156,'G-1 All Habitats'!$Z$2:$AA$9,2,FALSE),"")</f>
        <v>3</v>
      </c>
      <c r="J156" s="114" t="s">
        <v>1037</v>
      </c>
      <c r="K156" s="370" t="str">
        <f>IF(J156="","",IF(VLOOKUP(J156,'G-3 Multipliers'!$L$3:$N$6,2,FALSE)=0,"Spatial Data Missing",VLOOKUP(J156,'G-3 Multipliers'!$L$3:$N$6,2,FALSE)))</f>
        <v>Low Strategic Significance</v>
      </c>
      <c r="L156" s="368">
        <f>IF(J156="","",IF(VLOOKUP(J156,'G-3 Multipliers'!$L$3:$N$6,3,FALSE)=0,"Spatial Data Missing ⚠",VLOOKUP(J156,'G-3 Multipliers'!$L$3:$N$6,3,FALSE)))</f>
        <v>1</v>
      </c>
      <c r="M156" s="369" t="str">
        <f>IF(D156="","",VLOOKUP(D156,'G-6 Hedgerow Data'!$B$1:$AH$15,33,FALSE))</f>
        <v>Same distinctiveness band or better</v>
      </c>
      <c r="N156" s="376">
        <f t="shared" si="16"/>
        <v>1.2492000000000001</v>
      </c>
      <c r="O156" s="32"/>
      <c r="P156" s="122">
        <v>0.2082</v>
      </c>
      <c r="Q156" s="165">
        <v>0</v>
      </c>
      <c r="R156" s="393">
        <f t="shared" si="17"/>
        <v>1.2492000000000001</v>
      </c>
      <c r="S156" s="393">
        <f t="shared" si="18"/>
        <v>0</v>
      </c>
      <c r="T156" s="393">
        <f t="shared" si="19"/>
        <v>0</v>
      </c>
      <c r="U156" s="415">
        <f t="shared" si="20"/>
        <v>0</v>
      </c>
      <c r="V156" s="119"/>
      <c r="W156" s="120"/>
      <c r="X156" s="120"/>
      <c r="AE156" s="124" t="b">
        <f t="shared" si="14"/>
        <v>1</v>
      </c>
      <c r="AF156" s="124" t="b">
        <f t="shared" si="15"/>
        <v>0</v>
      </c>
      <c r="AH156" s="124">
        <v>147</v>
      </c>
      <c r="AJ156" s="124">
        <f t="array" ref="AJ156">IFERROR(INDEX($AH$10:$AH$258, MATCH(0, IF(TRUE=$AE$10:$AE$258, COUNTIF($AJ$9:$AJ155, $AH$10:$AH$258), ""), 0)),"")</f>
        <v>175</v>
      </c>
      <c r="AK156" s="124" t="str">
        <f t="array" ref="AK156">IFERROR(INDEX($AH$10:$AH$258, MATCH(0, IF(TRUE=$AF$10:$AF$258, COUNTIF($AK$9:$AK155, $AH$10:$AH$258), ""), 0)),"")</f>
        <v/>
      </c>
      <c r="AL156" s="30" t="str">
        <f>IFERROR(INDEX('G-6 Hedgerow Data'!$BJ$3:$BJ$15,MATCH(D156,'G-6 Hedgerow Data'!$B$3:$B$15,0)),"")</f>
        <v>Hedgecond1</v>
      </c>
    </row>
    <row r="157" spans="2:38" ht="42.75" x14ac:dyDescent="0.2">
      <c r="B157" s="110">
        <v>148</v>
      </c>
      <c r="C157" s="165" t="s">
        <v>1834</v>
      </c>
      <c r="D157" s="165" t="s">
        <v>176</v>
      </c>
      <c r="E157" s="121">
        <v>0.12089999999999999</v>
      </c>
      <c r="F157" s="411" t="str">
        <f>IF(D157="","",VLOOKUP(D157,'G-6 Hedgerow Data'!$B$2:$AG$15,2,FALSE))</f>
        <v>Low</v>
      </c>
      <c r="G157" s="363">
        <f>IF(D157="","",VLOOKUP(D157,'G-6 Hedgerow Data'!$B$2:$AG$15,3,FALSE))</f>
        <v>2</v>
      </c>
      <c r="H157" s="114" t="s">
        <v>68</v>
      </c>
      <c r="I157" s="363">
        <f>IFERROR(VLOOKUP(H157,'G-1 All Habitats'!$Z$2:$AA$9,2,FALSE),"")</f>
        <v>3</v>
      </c>
      <c r="J157" s="114" t="s">
        <v>1037</v>
      </c>
      <c r="K157" s="370" t="str">
        <f>IF(J157="","",IF(VLOOKUP(J157,'G-3 Multipliers'!$L$3:$N$6,2,FALSE)=0,"Spatial Data Missing",VLOOKUP(J157,'G-3 Multipliers'!$L$3:$N$6,2,FALSE)))</f>
        <v>Low Strategic Significance</v>
      </c>
      <c r="L157" s="368">
        <f>IF(J157="","",IF(VLOOKUP(J157,'G-3 Multipliers'!$L$3:$N$6,3,FALSE)=0,"Spatial Data Missing ⚠",VLOOKUP(J157,'G-3 Multipliers'!$L$3:$N$6,3,FALSE)))</f>
        <v>1</v>
      </c>
      <c r="M157" s="369" t="str">
        <f>IF(D157="","",VLOOKUP(D157,'G-6 Hedgerow Data'!$B$1:$AH$15,33,FALSE))</f>
        <v>Same distinctiveness band or better</v>
      </c>
      <c r="N157" s="376">
        <f t="shared" si="16"/>
        <v>0.72539999999999993</v>
      </c>
      <c r="O157" s="32"/>
      <c r="P157" s="122">
        <v>0.12089999999999999</v>
      </c>
      <c r="Q157" s="165">
        <v>0</v>
      </c>
      <c r="R157" s="393">
        <f t="shared" si="17"/>
        <v>0.72539999999999993</v>
      </c>
      <c r="S157" s="393">
        <f t="shared" si="18"/>
        <v>0</v>
      </c>
      <c r="T157" s="393">
        <f t="shared" si="19"/>
        <v>0</v>
      </c>
      <c r="U157" s="415">
        <f t="shared" si="20"/>
        <v>0</v>
      </c>
      <c r="V157" s="119"/>
      <c r="W157" s="120"/>
      <c r="X157" s="120"/>
      <c r="AE157" s="124" t="b">
        <f t="shared" si="14"/>
        <v>1</v>
      </c>
      <c r="AF157" s="124" t="b">
        <f t="shared" si="15"/>
        <v>0</v>
      </c>
      <c r="AH157" s="124">
        <v>148</v>
      </c>
      <c r="AJ157" s="124">
        <f t="array" ref="AJ157">IFERROR(INDEX($AH$10:$AH$258, MATCH(0, IF(TRUE=$AE$10:$AE$258, COUNTIF($AJ$9:$AJ156, $AH$10:$AH$258), ""), 0)),"")</f>
        <v>176</v>
      </c>
      <c r="AK157" s="124" t="str">
        <f t="array" ref="AK157">IFERROR(INDEX($AH$10:$AH$258, MATCH(0, IF(TRUE=$AF$10:$AF$258, COUNTIF($AK$9:$AK156, $AH$10:$AH$258), ""), 0)),"")</f>
        <v/>
      </c>
      <c r="AL157" s="30" t="str">
        <f>IFERROR(INDEX('G-6 Hedgerow Data'!$BJ$3:$BJ$15,MATCH(D157,'G-6 Hedgerow Data'!$B$3:$B$15,0)),"")</f>
        <v>Hedgecond1</v>
      </c>
    </row>
    <row r="158" spans="2:38" ht="42.75" x14ac:dyDescent="0.2">
      <c r="B158" s="110">
        <v>149</v>
      </c>
      <c r="C158" s="165" t="s">
        <v>1835</v>
      </c>
      <c r="D158" s="165" t="s">
        <v>176</v>
      </c>
      <c r="E158" s="121">
        <v>0.12470000000000001</v>
      </c>
      <c r="F158" s="411" t="str">
        <f>IF(D158="","",VLOOKUP(D158,'G-6 Hedgerow Data'!$B$2:$AG$15,2,FALSE))</f>
        <v>Low</v>
      </c>
      <c r="G158" s="363">
        <f>IF(D158="","",VLOOKUP(D158,'G-6 Hedgerow Data'!$B$2:$AG$15,3,FALSE))</f>
        <v>2</v>
      </c>
      <c r="H158" s="114" t="s">
        <v>68</v>
      </c>
      <c r="I158" s="363">
        <f>IFERROR(VLOOKUP(H158,'G-1 All Habitats'!$Z$2:$AA$9,2,FALSE),"")</f>
        <v>3</v>
      </c>
      <c r="J158" s="114" t="s">
        <v>1037</v>
      </c>
      <c r="K158" s="370" t="str">
        <f>IF(J158="","",IF(VLOOKUP(J158,'G-3 Multipliers'!$L$3:$N$6,2,FALSE)=0,"Spatial Data Missing",VLOOKUP(J158,'G-3 Multipliers'!$L$3:$N$6,2,FALSE)))</f>
        <v>Low Strategic Significance</v>
      </c>
      <c r="L158" s="368">
        <f>IF(J158="","",IF(VLOOKUP(J158,'G-3 Multipliers'!$L$3:$N$6,3,FALSE)=0,"Spatial Data Missing ⚠",VLOOKUP(J158,'G-3 Multipliers'!$L$3:$N$6,3,FALSE)))</f>
        <v>1</v>
      </c>
      <c r="M158" s="369" t="str">
        <f>IF(D158="","",VLOOKUP(D158,'G-6 Hedgerow Data'!$B$1:$AH$15,33,FALSE))</f>
        <v>Same distinctiveness band or better</v>
      </c>
      <c r="N158" s="376">
        <f t="shared" si="16"/>
        <v>0.74819999999999998</v>
      </c>
      <c r="O158" s="32"/>
      <c r="P158" s="122">
        <v>0.12470000000000001</v>
      </c>
      <c r="Q158" s="165">
        <v>0</v>
      </c>
      <c r="R158" s="393">
        <f t="shared" si="17"/>
        <v>0.74819999999999998</v>
      </c>
      <c r="S158" s="393">
        <f t="shared" si="18"/>
        <v>0</v>
      </c>
      <c r="T158" s="393">
        <f t="shared" si="19"/>
        <v>0</v>
      </c>
      <c r="U158" s="415">
        <f t="shared" si="20"/>
        <v>0</v>
      </c>
      <c r="V158" s="119"/>
      <c r="W158" s="120"/>
      <c r="X158" s="120"/>
      <c r="AE158" s="124" t="b">
        <f t="shared" si="14"/>
        <v>1</v>
      </c>
      <c r="AF158" s="124" t="b">
        <f t="shared" si="15"/>
        <v>0</v>
      </c>
      <c r="AH158" s="124">
        <v>149</v>
      </c>
      <c r="AJ158" s="124">
        <f t="array" ref="AJ158">IFERROR(INDEX($AH$10:$AH$258, MATCH(0, IF(TRUE=$AE$10:$AE$258, COUNTIF($AJ$9:$AJ157, $AH$10:$AH$258), ""), 0)),"")</f>
        <v>177</v>
      </c>
      <c r="AK158" s="124" t="str">
        <f t="array" ref="AK158">IFERROR(INDEX($AH$10:$AH$258, MATCH(0, IF(TRUE=$AF$10:$AF$258, COUNTIF($AK$9:$AK157, $AH$10:$AH$258), ""), 0)),"")</f>
        <v/>
      </c>
      <c r="AL158" s="30" t="str">
        <f>IFERROR(INDEX('G-6 Hedgerow Data'!$BJ$3:$BJ$15,MATCH(D158,'G-6 Hedgerow Data'!$B$3:$B$15,0)),"")</f>
        <v>Hedgecond1</v>
      </c>
    </row>
    <row r="159" spans="2:38" ht="28.5" x14ac:dyDescent="0.2">
      <c r="B159" s="110">
        <v>150</v>
      </c>
      <c r="C159" s="165" t="s">
        <v>1836</v>
      </c>
      <c r="D159" s="165" t="s">
        <v>168</v>
      </c>
      <c r="E159" s="121">
        <v>0.1087</v>
      </c>
      <c r="F159" s="411" t="str">
        <f>IF(D159="","",VLOOKUP(D159,'G-6 Hedgerow Data'!$B$2:$AG$15,2,FALSE))</f>
        <v>High</v>
      </c>
      <c r="G159" s="363">
        <f>IF(D159="","",VLOOKUP(D159,'G-6 Hedgerow Data'!$B$2:$AG$15,3,FALSE))</f>
        <v>6</v>
      </c>
      <c r="H159" s="114" t="s">
        <v>68</v>
      </c>
      <c r="I159" s="363">
        <f>IFERROR(VLOOKUP(H159,'G-1 All Habitats'!$Z$2:$AA$9,2,FALSE),"")</f>
        <v>3</v>
      </c>
      <c r="J159" s="114" t="s">
        <v>1037</v>
      </c>
      <c r="K159" s="370" t="str">
        <f>IF(J159="","",IF(VLOOKUP(J159,'G-3 Multipliers'!$L$3:$N$6,2,FALSE)=0,"Spatial Data Missing",VLOOKUP(J159,'G-3 Multipliers'!$L$3:$N$6,2,FALSE)))</f>
        <v>Low Strategic Significance</v>
      </c>
      <c r="L159" s="368">
        <f>IF(J159="","",IF(VLOOKUP(J159,'G-3 Multipliers'!$L$3:$N$6,3,FALSE)=0,"Spatial Data Missing ⚠",VLOOKUP(J159,'G-3 Multipliers'!$L$3:$N$6,3,FALSE)))</f>
        <v>1</v>
      </c>
      <c r="M159" s="369" t="str">
        <f>IF(D159="","",VLOOKUP(D159,'G-6 Hedgerow Data'!$B$1:$AH$15,33,FALSE))</f>
        <v>Like for like or better</v>
      </c>
      <c r="N159" s="376">
        <f t="shared" si="16"/>
        <v>1.9565999999999999</v>
      </c>
      <c r="O159" s="32"/>
      <c r="P159" s="122">
        <v>0.1087</v>
      </c>
      <c r="Q159" s="165">
        <v>0</v>
      </c>
      <c r="R159" s="393">
        <f t="shared" si="17"/>
        <v>1.9565999999999999</v>
      </c>
      <c r="S159" s="393">
        <f t="shared" si="18"/>
        <v>0</v>
      </c>
      <c r="T159" s="393">
        <f t="shared" si="19"/>
        <v>0</v>
      </c>
      <c r="U159" s="415">
        <f t="shared" si="20"/>
        <v>0</v>
      </c>
      <c r="V159" s="119"/>
      <c r="W159" s="120"/>
      <c r="X159" s="120"/>
      <c r="AE159" s="124" t="b">
        <f t="shared" si="14"/>
        <v>1</v>
      </c>
      <c r="AF159" s="124" t="b">
        <f t="shared" si="15"/>
        <v>0</v>
      </c>
      <c r="AH159" s="124">
        <v>150</v>
      </c>
      <c r="AJ159" s="124">
        <f t="array" ref="AJ159">IFERROR(INDEX($AH$10:$AH$258, MATCH(0, IF(TRUE=$AE$10:$AE$258, COUNTIF($AJ$9:$AJ158, $AH$10:$AH$258), ""), 0)),"")</f>
        <v>178</v>
      </c>
      <c r="AK159" s="124" t="str">
        <f t="array" ref="AK159">IFERROR(INDEX($AH$10:$AH$258, MATCH(0, IF(TRUE=$AF$10:$AF$258, COUNTIF($AK$9:$AK158, $AH$10:$AH$258), ""), 0)),"")</f>
        <v/>
      </c>
      <c r="AL159" s="30" t="str">
        <f>IFERROR(INDEX('G-6 Hedgerow Data'!$BJ$3:$BJ$15,MATCH(D159,'G-6 Hedgerow Data'!$B$3:$B$15,0)),"")</f>
        <v>Hedgecond1</v>
      </c>
    </row>
    <row r="160" spans="2:38" ht="42.75" x14ac:dyDescent="0.2">
      <c r="B160" s="110">
        <v>151</v>
      </c>
      <c r="C160" s="165" t="s">
        <v>1837</v>
      </c>
      <c r="D160" s="165" t="s">
        <v>171</v>
      </c>
      <c r="E160" s="121">
        <v>0.37190000000000001</v>
      </c>
      <c r="F160" s="411" t="str">
        <f>IF(D160="","",VLOOKUP(D160,'G-6 Hedgerow Data'!$B$2:$AG$15,2,FALSE))</f>
        <v>Medium</v>
      </c>
      <c r="G160" s="363">
        <f>IF(D160="","",VLOOKUP(D160,'G-6 Hedgerow Data'!$B$2:$AG$15,3,FALSE))</f>
        <v>4</v>
      </c>
      <c r="H160" s="114" t="s">
        <v>68</v>
      </c>
      <c r="I160" s="363">
        <f>IFERROR(VLOOKUP(H160,'G-1 All Habitats'!$Z$2:$AA$9,2,FALSE),"")</f>
        <v>3</v>
      </c>
      <c r="J160" s="114" t="s">
        <v>1037</v>
      </c>
      <c r="K160" s="370" t="str">
        <f>IF(J160="","",IF(VLOOKUP(J160,'G-3 Multipliers'!$L$3:$N$6,2,FALSE)=0,"Spatial Data Missing",VLOOKUP(J160,'G-3 Multipliers'!$L$3:$N$6,2,FALSE)))</f>
        <v>Low Strategic Significance</v>
      </c>
      <c r="L160" s="368">
        <f>IF(J160="","",IF(VLOOKUP(J160,'G-3 Multipliers'!$L$3:$N$6,3,FALSE)=0,"Spatial Data Missing ⚠",VLOOKUP(J160,'G-3 Multipliers'!$L$3:$N$6,3,FALSE)))</f>
        <v>1</v>
      </c>
      <c r="M160" s="369" t="str">
        <f>IF(D160="","",VLOOKUP(D160,'G-6 Hedgerow Data'!$B$1:$AH$15,33,FALSE))</f>
        <v>Same distinctiveness band or better</v>
      </c>
      <c r="N160" s="376">
        <f t="shared" si="16"/>
        <v>4.4627999999999997</v>
      </c>
      <c r="O160" s="32"/>
      <c r="P160" s="122">
        <v>0.3695</v>
      </c>
      <c r="Q160" s="165">
        <v>0</v>
      </c>
      <c r="R160" s="393">
        <f t="shared" si="17"/>
        <v>4.4340000000000002</v>
      </c>
      <c r="S160" s="393">
        <f t="shared" si="18"/>
        <v>0</v>
      </c>
      <c r="T160" s="393">
        <f t="shared" si="19"/>
        <v>2.4000000000000132E-3</v>
      </c>
      <c r="U160" s="415">
        <f t="shared" si="20"/>
        <v>2.8799999999999493E-2</v>
      </c>
      <c r="V160" s="119" t="s">
        <v>1965</v>
      </c>
      <c r="W160" s="120"/>
      <c r="X160" s="120"/>
      <c r="AE160" s="124" t="b">
        <f t="shared" si="14"/>
        <v>1</v>
      </c>
      <c r="AF160" s="124" t="b">
        <f t="shared" si="15"/>
        <v>0</v>
      </c>
      <c r="AH160" s="124">
        <v>151</v>
      </c>
      <c r="AJ160" s="124">
        <f t="array" ref="AJ160">IFERROR(INDEX($AH$10:$AH$258, MATCH(0, IF(TRUE=$AE$10:$AE$258, COUNTIF($AJ$9:$AJ159, $AH$10:$AH$258), ""), 0)),"")</f>
        <v>179</v>
      </c>
      <c r="AK160" s="124" t="str">
        <f t="array" ref="AK160">IFERROR(INDEX($AH$10:$AH$258, MATCH(0, IF(TRUE=$AF$10:$AF$258, COUNTIF($AK$9:$AK159, $AH$10:$AH$258), ""), 0)),"")</f>
        <v/>
      </c>
      <c r="AL160" s="30" t="str">
        <f>IFERROR(INDEX('G-6 Hedgerow Data'!$BJ$3:$BJ$15,MATCH(D160,'G-6 Hedgerow Data'!$B$3:$B$15,0)),"")</f>
        <v>Hedgecond1</v>
      </c>
    </row>
    <row r="161" spans="2:38" ht="28.5" x14ac:dyDescent="0.2">
      <c r="B161" s="110">
        <v>152</v>
      </c>
      <c r="C161" s="165" t="s">
        <v>1838</v>
      </c>
      <c r="D161" s="165" t="s">
        <v>168</v>
      </c>
      <c r="E161" s="121">
        <v>0.33539999999999998</v>
      </c>
      <c r="F161" s="411" t="str">
        <f>IF(D161="","",VLOOKUP(D161,'G-6 Hedgerow Data'!$B$2:$AG$15,2,FALSE))</f>
        <v>High</v>
      </c>
      <c r="G161" s="363">
        <f>IF(D161="","",VLOOKUP(D161,'G-6 Hedgerow Data'!$B$2:$AG$15,3,FALSE))</f>
        <v>6</v>
      </c>
      <c r="H161" s="114" t="s">
        <v>329</v>
      </c>
      <c r="I161" s="363">
        <f>IFERROR(VLOOKUP(H161,'G-1 All Habitats'!$Z$2:$AA$9,2,FALSE),"")</f>
        <v>1</v>
      </c>
      <c r="J161" s="114" t="s">
        <v>1029</v>
      </c>
      <c r="K161" s="370" t="str">
        <f>IF(J161="","",IF(VLOOKUP(J161,'G-3 Multipliers'!$L$3:$N$6,2,FALSE)=0,"Spatial Data Missing",VLOOKUP(J161,'G-3 Multipliers'!$L$3:$N$6,2,FALSE)))</f>
        <v xml:space="preserve">High strategic significance </v>
      </c>
      <c r="L161" s="368">
        <f>IF(J161="","",IF(VLOOKUP(J161,'G-3 Multipliers'!$L$3:$N$6,3,FALSE)=0,"Spatial Data Missing ⚠",VLOOKUP(J161,'G-3 Multipliers'!$L$3:$N$6,3,FALSE)))</f>
        <v>1.1499999999999999</v>
      </c>
      <c r="M161" s="369" t="str">
        <f>IF(D161="","",VLOOKUP(D161,'G-6 Hedgerow Data'!$B$1:$AH$15,33,FALSE))</f>
        <v>Like for like or better</v>
      </c>
      <c r="N161" s="376">
        <f t="shared" si="16"/>
        <v>2.31426</v>
      </c>
      <c r="O161" s="32"/>
      <c r="P161" s="122">
        <v>-2.6200000000000001E-2</v>
      </c>
      <c r="Q161" s="165">
        <v>0.36149999999999999</v>
      </c>
      <c r="R161" s="393">
        <f t="shared" si="17"/>
        <v>-0.18078</v>
      </c>
      <c r="S161" s="393">
        <f t="shared" si="18"/>
        <v>2.4943499999999998</v>
      </c>
      <c r="T161" s="393">
        <f t="shared" si="19"/>
        <v>9.9999999999988987E-5</v>
      </c>
      <c r="U161" s="415">
        <f t="shared" si="20"/>
        <v>6.9000000000007944E-4</v>
      </c>
      <c r="V161" s="119"/>
      <c r="W161" s="120"/>
      <c r="X161" s="120"/>
      <c r="AE161" s="124" t="b">
        <f t="shared" si="14"/>
        <v>0</v>
      </c>
      <c r="AF161" s="124" t="b">
        <f t="shared" si="15"/>
        <v>1</v>
      </c>
      <c r="AH161" s="124">
        <v>152</v>
      </c>
      <c r="AJ161" s="124">
        <f t="array" ref="AJ161">IFERROR(INDEX($AH$10:$AH$258, MATCH(0, IF(TRUE=$AE$10:$AE$258, COUNTIF($AJ$9:$AJ160, $AH$10:$AH$258), ""), 0)),"")</f>
        <v>180</v>
      </c>
      <c r="AK161" s="124" t="str">
        <f t="array" ref="AK161">IFERROR(INDEX($AH$10:$AH$258, MATCH(0, IF(TRUE=$AF$10:$AF$258, COUNTIF($AK$9:$AK160, $AH$10:$AH$258), ""), 0)),"")</f>
        <v/>
      </c>
      <c r="AL161" s="30" t="str">
        <f>IFERROR(INDEX('G-6 Hedgerow Data'!$BJ$3:$BJ$15,MATCH(D161,'G-6 Hedgerow Data'!$B$3:$B$15,0)),"")</f>
        <v>Hedgecond1</v>
      </c>
    </row>
    <row r="162" spans="2:38" ht="42.75" x14ac:dyDescent="0.2">
      <c r="B162" s="110">
        <v>153</v>
      </c>
      <c r="C162" s="165" t="s">
        <v>1839</v>
      </c>
      <c r="D162" s="165" t="s">
        <v>173</v>
      </c>
      <c r="E162" s="121">
        <v>0.25940000000000002</v>
      </c>
      <c r="F162" s="411" t="str">
        <f>IF(D162="","",VLOOKUP(D162,'G-6 Hedgerow Data'!$B$2:$AG$15,2,FALSE))</f>
        <v>Medium</v>
      </c>
      <c r="G162" s="363">
        <f>IF(D162="","",VLOOKUP(D162,'G-6 Hedgerow Data'!$B$2:$AG$15,3,FALSE))</f>
        <v>4</v>
      </c>
      <c r="H162" s="114" t="s">
        <v>329</v>
      </c>
      <c r="I162" s="363">
        <f>IFERROR(VLOOKUP(H162,'G-1 All Habitats'!$Z$2:$AA$9,2,FALSE),"")</f>
        <v>1</v>
      </c>
      <c r="J162" s="114" t="s">
        <v>1029</v>
      </c>
      <c r="K162" s="370" t="str">
        <f>IF(J162="","",IF(VLOOKUP(J162,'G-3 Multipliers'!$L$3:$N$6,2,FALSE)=0,"Spatial Data Missing",VLOOKUP(J162,'G-3 Multipliers'!$L$3:$N$6,2,FALSE)))</f>
        <v xml:space="preserve">High strategic significance </v>
      </c>
      <c r="L162" s="368">
        <f>IF(J162="","",IF(VLOOKUP(J162,'G-3 Multipliers'!$L$3:$N$6,3,FALSE)=0,"Spatial Data Missing ⚠",VLOOKUP(J162,'G-3 Multipliers'!$L$3:$N$6,3,FALSE)))</f>
        <v>1.1499999999999999</v>
      </c>
      <c r="M162" s="369" t="str">
        <f>IF(D162="","",VLOOKUP(D162,'G-6 Hedgerow Data'!$B$1:$AH$15,33,FALSE))</f>
        <v>Same distinctiveness band or better</v>
      </c>
      <c r="N162" s="376">
        <f t="shared" si="16"/>
        <v>1.1932400000000001</v>
      </c>
      <c r="O162" s="32"/>
      <c r="P162" s="122">
        <v>0.15570000000000001</v>
      </c>
      <c r="Q162" s="165">
        <v>0.1037</v>
      </c>
      <c r="R162" s="393">
        <f t="shared" si="17"/>
        <v>0.71621999999999997</v>
      </c>
      <c r="S162" s="393">
        <f t="shared" si="18"/>
        <v>0.47701999999999994</v>
      </c>
      <c r="T162" s="393">
        <f t="shared" si="19"/>
        <v>1.3877787807814457E-17</v>
      </c>
      <c r="U162" s="415">
        <f t="shared" si="20"/>
        <v>1.6653345369377348E-16</v>
      </c>
      <c r="V162" s="119"/>
      <c r="W162" s="120"/>
      <c r="X162" s="120"/>
      <c r="AE162" s="124" t="b">
        <f t="shared" si="14"/>
        <v>1</v>
      </c>
      <c r="AF162" s="124" t="b">
        <f t="shared" si="15"/>
        <v>1</v>
      </c>
      <c r="AH162" s="124">
        <v>153</v>
      </c>
      <c r="AJ162" s="124">
        <f t="array" ref="AJ162">IFERROR(INDEX($AH$10:$AH$258, MATCH(0, IF(TRUE=$AE$10:$AE$258, COUNTIF($AJ$9:$AJ161, $AH$10:$AH$258), ""), 0)),"")</f>
        <v>181</v>
      </c>
      <c r="AK162" s="124" t="str">
        <f t="array" ref="AK162">IFERROR(INDEX($AH$10:$AH$258, MATCH(0, IF(TRUE=$AF$10:$AF$258, COUNTIF($AK$9:$AK161, $AH$10:$AH$258), ""), 0)),"")</f>
        <v/>
      </c>
      <c r="AL162" s="30" t="str">
        <f>IFERROR(INDEX('G-6 Hedgerow Data'!$BJ$3:$BJ$15,MATCH(D162,'G-6 Hedgerow Data'!$B$3:$B$15,0)),"")</f>
        <v>Hedgecond1</v>
      </c>
    </row>
    <row r="163" spans="2:38" ht="42.75" x14ac:dyDescent="0.2">
      <c r="B163" s="110">
        <v>154</v>
      </c>
      <c r="C163" s="165" t="s">
        <v>1840</v>
      </c>
      <c r="D163" s="165" t="s">
        <v>173</v>
      </c>
      <c r="E163" s="121">
        <v>7.7899999999999997E-2</v>
      </c>
      <c r="F163" s="411" t="str">
        <f>IF(D163="","",VLOOKUP(D163,'G-6 Hedgerow Data'!$B$2:$AG$15,2,FALSE))</f>
        <v>Medium</v>
      </c>
      <c r="G163" s="363">
        <f>IF(D163="","",VLOOKUP(D163,'G-6 Hedgerow Data'!$B$2:$AG$15,3,FALSE))</f>
        <v>4</v>
      </c>
      <c r="H163" s="114" t="s">
        <v>329</v>
      </c>
      <c r="I163" s="363">
        <f>IFERROR(VLOOKUP(H163,'G-1 All Habitats'!$Z$2:$AA$9,2,FALSE),"")</f>
        <v>1</v>
      </c>
      <c r="J163" s="114" t="s">
        <v>1029</v>
      </c>
      <c r="K163" s="370" t="str">
        <f>IF(J163="","",IF(VLOOKUP(J163,'G-3 Multipliers'!$L$3:$N$6,2,FALSE)=0,"Spatial Data Missing",VLOOKUP(J163,'G-3 Multipliers'!$L$3:$N$6,2,FALSE)))</f>
        <v xml:space="preserve">High strategic significance </v>
      </c>
      <c r="L163" s="368">
        <f>IF(J163="","",IF(VLOOKUP(J163,'G-3 Multipliers'!$L$3:$N$6,3,FALSE)=0,"Spatial Data Missing ⚠",VLOOKUP(J163,'G-3 Multipliers'!$L$3:$N$6,3,FALSE)))</f>
        <v>1.1499999999999999</v>
      </c>
      <c r="M163" s="369" t="str">
        <f>IF(D163="","",VLOOKUP(D163,'G-6 Hedgerow Data'!$B$1:$AH$15,33,FALSE))</f>
        <v>Same distinctiveness band or better</v>
      </c>
      <c r="N163" s="376">
        <f t="shared" si="16"/>
        <v>0.35833999999999994</v>
      </c>
      <c r="O163" s="32"/>
      <c r="P163" s="122">
        <v>7.7899999999999997E-2</v>
      </c>
      <c r="Q163" s="165">
        <v>0</v>
      </c>
      <c r="R163" s="393">
        <f t="shared" si="17"/>
        <v>0.35833999999999994</v>
      </c>
      <c r="S163" s="393">
        <f t="shared" si="18"/>
        <v>0</v>
      </c>
      <c r="T163" s="393">
        <f t="shared" si="19"/>
        <v>0</v>
      </c>
      <c r="U163" s="415">
        <f t="shared" si="20"/>
        <v>0</v>
      </c>
      <c r="V163" s="119"/>
      <c r="W163" s="120"/>
      <c r="X163" s="120"/>
      <c r="AE163" s="124" t="b">
        <f t="shared" si="14"/>
        <v>1</v>
      </c>
      <c r="AF163" s="124" t="b">
        <f t="shared" si="15"/>
        <v>0</v>
      </c>
      <c r="AH163" s="124">
        <v>154</v>
      </c>
      <c r="AJ163" s="124">
        <f t="array" ref="AJ163">IFERROR(INDEX($AH$10:$AH$258, MATCH(0, IF(TRUE=$AE$10:$AE$258, COUNTIF($AJ$9:$AJ162, $AH$10:$AH$258), ""), 0)),"")</f>
        <v>182</v>
      </c>
      <c r="AK163" s="124" t="str">
        <f t="array" ref="AK163">IFERROR(INDEX($AH$10:$AH$258, MATCH(0, IF(TRUE=$AF$10:$AF$258, COUNTIF($AK$9:$AK162, $AH$10:$AH$258), ""), 0)),"")</f>
        <v/>
      </c>
      <c r="AL163" s="30" t="str">
        <f>IFERROR(INDEX('G-6 Hedgerow Data'!$BJ$3:$BJ$15,MATCH(D163,'G-6 Hedgerow Data'!$B$3:$B$15,0)),"")</f>
        <v>Hedgecond1</v>
      </c>
    </row>
    <row r="164" spans="2:38" ht="42.75" x14ac:dyDescent="0.2">
      <c r="B164" s="110">
        <v>155</v>
      </c>
      <c r="C164" s="165" t="s">
        <v>1841</v>
      </c>
      <c r="D164" s="165" t="s">
        <v>171</v>
      </c>
      <c r="E164" s="121">
        <v>0.52410000000000001</v>
      </c>
      <c r="F164" s="411" t="str">
        <f>IF(D164="","",VLOOKUP(D164,'G-6 Hedgerow Data'!$B$2:$AG$15,2,FALSE))</f>
        <v>Medium</v>
      </c>
      <c r="G164" s="363">
        <f>IF(D164="","",VLOOKUP(D164,'G-6 Hedgerow Data'!$B$2:$AG$15,3,FALSE))</f>
        <v>4</v>
      </c>
      <c r="H164" s="114" t="s">
        <v>329</v>
      </c>
      <c r="I164" s="363">
        <f>IFERROR(VLOOKUP(H164,'G-1 All Habitats'!$Z$2:$AA$9,2,FALSE),"")</f>
        <v>1</v>
      </c>
      <c r="J164" s="114" t="s">
        <v>1037</v>
      </c>
      <c r="K164" s="370" t="str">
        <f>IF(J164="","",IF(VLOOKUP(J164,'G-3 Multipliers'!$L$3:$N$6,2,FALSE)=0,"Spatial Data Missing",VLOOKUP(J164,'G-3 Multipliers'!$L$3:$N$6,2,FALSE)))</f>
        <v>Low Strategic Significance</v>
      </c>
      <c r="L164" s="368">
        <f>IF(J164="","",IF(VLOOKUP(J164,'G-3 Multipliers'!$L$3:$N$6,3,FALSE)=0,"Spatial Data Missing ⚠",VLOOKUP(J164,'G-3 Multipliers'!$L$3:$N$6,3,FALSE)))</f>
        <v>1</v>
      </c>
      <c r="M164" s="369" t="str">
        <f>IF(D164="","",VLOOKUP(D164,'G-6 Hedgerow Data'!$B$1:$AH$15,33,FALSE))</f>
        <v>Same distinctiveness band or better</v>
      </c>
      <c r="N164" s="376">
        <f t="shared" si="16"/>
        <v>2.0964</v>
      </c>
      <c r="O164" s="32"/>
      <c r="P164" s="122">
        <v>0.52410000000000001</v>
      </c>
      <c r="Q164" s="165">
        <v>0</v>
      </c>
      <c r="R164" s="393">
        <f t="shared" si="17"/>
        <v>2.0964</v>
      </c>
      <c r="S164" s="393">
        <f t="shared" si="18"/>
        <v>0</v>
      </c>
      <c r="T164" s="393">
        <f t="shared" si="19"/>
        <v>0</v>
      </c>
      <c r="U164" s="415">
        <f t="shared" si="20"/>
        <v>0</v>
      </c>
      <c r="V164" s="119"/>
      <c r="W164" s="120"/>
      <c r="X164" s="120"/>
      <c r="AE164" s="124" t="b">
        <f t="shared" si="14"/>
        <v>1</v>
      </c>
      <c r="AF164" s="124" t="b">
        <f t="shared" si="15"/>
        <v>0</v>
      </c>
      <c r="AH164" s="124">
        <v>155</v>
      </c>
      <c r="AJ164" s="124">
        <f t="array" ref="AJ164">IFERROR(INDEX($AH$10:$AH$258, MATCH(0, IF(TRUE=$AE$10:$AE$258, COUNTIF($AJ$9:$AJ163, $AH$10:$AH$258), ""), 0)),"")</f>
        <v>185</v>
      </c>
      <c r="AK164" s="124" t="str">
        <f t="array" ref="AK164">IFERROR(INDEX($AH$10:$AH$258, MATCH(0, IF(TRUE=$AF$10:$AF$258, COUNTIF($AK$9:$AK163, $AH$10:$AH$258), ""), 0)),"")</f>
        <v/>
      </c>
      <c r="AL164" s="30" t="str">
        <f>IFERROR(INDEX('G-6 Hedgerow Data'!$BJ$3:$BJ$15,MATCH(D164,'G-6 Hedgerow Data'!$B$3:$B$15,0)),"")</f>
        <v>Hedgecond1</v>
      </c>
    </row>
    <row r="165" spans="2:38" ht="42.75" x14ac:dyDescent="0.2">
      <c r="B165" s="110">
        <v>156</v>
      </c>
      <c r="C165" s="165" t="s">
        <v>1842</v>
      </c>
      <c r="D165" s="165" t="s">
        <v>176</v>
      </c>
      <c r="E165" s="121">
        <v>0.49959999999999999</v>
      </c>
      <c r="F165" s="411" t="str">
        <f>IF(D165="","",VLOOKUP(D165,'G-6 Hedgerow Data'!$B$2:$AG$15,2,FALSE))</f>
        <v>Low</v>
      </c>
      <c r="G165" s="363">
        <f>IF(D165="","",VLOOKUP(D165,'G-6 Hedgerow Data'!$B$2:$AG$15,3,FALSE))</f>
        <v>2</v>
      </c>
      <c r="H165" s="114" t="s">
        <v>68</v>
      </c>
      <c r="I165" s="363">
        <f>IFERROR(VLOOKUP(H165,'G-1 All Habitats'!$Z$2:$AA$9,2,FALSE),"")</f>
        <v>3</v>
      </c>
      <c r="J165" s="114" t="s">
        <v>1037</v>
      </c>
      <c r="K165" s="370" t="str">
        <f>IF(J165="","",IF(VLOOKUP(J165,'G-3 Multipliers'!$L$3:$N$6,2,FALSE)=0,"Spatial Data Missing",VLOOKUP(J165,'G-3 Multipliers'!$L$3:$N$6,2,FALSE)))</f>
        <v>Low Strategic Significance</v>
      </c>
      <c r="L165" s="368">
        <f>IF(J165="","",IF(VLOOKUP(J165,'G-3 Multipliers'!$L$3:$N$6,3,FALSE)=0,"Spatial Data Missing ⚠",VLOOKUP(J165,'G-3 Multipliers'!$L$3:$N$6,3,FALSE)))</f>
        <v>1</v>
      </c>
      <c r="M165" s="369" t="str">
        <f>IF(D165="","",VLOOKUP(D165,'G-6 Hedgerow Data'!$B$1:$AH$15,33,FALSE))</f>
        <v>Same distinctiveness band or better</v>
      </c>
      <c r="N165" s="376">
        <f t="shared" si="16"/>
        <v>2.9975999999999998</v>
      </c>
      <c r="O165" s="32"/>
      <c r="P165" s="122">
        <v>0</v>
      </c>
      <c r="Q165" s="165">
        <v>0.49959999999999999</v>
      </c>
      <c r="R165" s="393">
        <f t="shared" si="17"/>
        <v>0</v>
      </c>
      <c r="S165" s="393">
        <f t="shared" si="18"/>
        <v>2.9975999999999998</v>
      </c>
      <c r="T165" s="393">
        <f t="shared" si="19"/>
        <v>0</v>
      </c>
      <c r="U165" s="415">
        <f t="shared" si="20"/>
        <v>0</v>
      </c>
      <c r="V165" s="119"/>
      <c r="W165" s="120"/>
      <c r="X165" s="120"/>
      <c r="AE165" s="124" t="b">
        <f t="shared" si="14"/>
        <v>0</v>
      </c>
      <c r="AF165" s="124" t="b">
        <f t="shared" si="15"/>
        <v>1</v>
      </c>
      <c r="AH165" s="124">
        <v>156</v>
      </c>
      <c r="AJ165" s="124">
        <f t="array" ref="AJ165">IFERROR(INDEX($AH$10:$AH$258, MATCH(0, IF(TRUE=$AE$10:$AE$258, COUNTIF($AJ$9:$AJ164, $AH$10:$AH$258), ""), 0)),"")</f>
        <v>186</v>
      </c>
      <c r="AK165" s="124" t="str">
        <f t="array" ref="AK165">IFERROR(INDEX($AH$10:$AH$258, MATCH(0, IF(TRUE=$AF$10:$AF$258, COUNTIF($AK$9:$AK164, $AH$10:$AH$258), ""), 0)),"")</f>
        <v/>
      </c>
      <c r="AL165" s="30" t="str">
        <f>IFERROR(INDEX('G-6 Hedgerow Data'!$BJ$3:$BJ$15,MATCH(D165,'G-6 Hedgerow Data'!$B$3:$B$15,0)),"")</f>
        <v>Hedgecond1</v>
      </c>
    </row>
    <row r="166" spans="2:38" ht="42.75" x14ac:dyDescent="0.2">
      <c r="B166" s="110">
        <v>157</v>
      </c>
      <c r="C166" s="165" t="s">
        <v>1843</v>
      </c>
      <c r="D166" s="165" t="s">
        <v>173</v>
      </c>
      <c r="E166" s="121">
        <v>0.1794</v>
      </c>
      <c r="F166" s="411" t="str">
        <f>IF(D166="","",VLOOKUP(D166,'G-6 Hedgerow Data'!$B$2:$AG$15,2,FALSE))</f>
        <v>Medium</v>
      </c>
      <c r="G166" s="363">
        <f>IF(D166="","",VLOOKUP(D166,'G-6 Hedgerow Data'!$B$2:$AG$15,3,FALSE))</f>
        <v>4</v>
      </c>
      <c r="H166" s="114" t="s">
        <v>329</v>
      </c>
      <c r="I166" s="363">
        <f>IFERROR(VLOOKUP(H166,'G-1 All Habitats'!$Z$2:$AA$9,2,FALSE),"")</f>
        <v>1</v>
      </c>
      <c r="J166" s="114" t="s">
        <v>1037</v>
      </c>
      <c r="K166" s="370" t="str">
        <f>IF(J166="","",IF(VLOOKUP(J166,'G-3 Multipliers'!$L$3:$N$6,2,FALSE)=0,"Spatial Data Missing",VLOOKUP(J166,'G-3 Multipliers'!$L$3:$N$6,2,FALSE)))</f>
        <v>Low Strategic Significance</v>
      </c>
      <c r="L166" s="368">
        <f>IF(J166="","",IF(VLOOKUP(J166,'G-3 Multipliers'!$L$3:$N$6,3,FALSE)=0,"Spatial Data Missing ⚠",VLOOKUP(J166,'G-3 Multipliers'!$L$3:$N$6,3,FALSE)))</f>
        <v>1</v>
      </c>
      <c r="M166" s="369" t="str">
        <f>IF(D166="","",VLOOKUP(D166,'G-6 Hedgerow Data'!$B$1:$AH$15,33,FALSE))</f>
        <v>Same distinctiveness band or better</v>
      </c>
      <c r="N166" s="376">
        <f t="shared" si="16"/>
        <v>0.71760000000000002</v>
      </c>
      <c r="O166" s="32"/>
      <c r="P166" s="122">
        <v>9.3899999999999997E-2</v>
      </c>
      <c r="Q166" s="165">
        <v>8.5500000000000007E-2</v>
      </c>
      <c r="R166" s="393">
        <f t="shared" si="17"/>
        <v>0.37559999999999999</v>
      </c>
      <c r="S166" s="393">
        <f t="shared" si="18"/>
        <v>0.34200000000000003</v>
      </c>
      <c r="T166" s="393">
        <f t="shared" si="19"/>
        <v>0</v>
      </c>
      <c r="U166" s="415">
        <f t="shared" si="20"/>
        <v>0</v>
      </c>
      <c r="V166" s="119"/>
      <c r="W166" s="120"/>
      <c r="X166" s="120"/>
      <c r="AE166" s="124" t="b">
        <f t="shared" si="14"/>
        <v>1</v>
      </c>
      <c r="AF166" s="124" t="b">
        <f t="shared" si="15"/>
        <v>1</v>
      </c>
      <c r="AH166" s="124">
        <v>157</v>
      </c>
      <c r="AJ166" s="124">
        <f t="array" ref="AJ166">IFERROR(INDEX($AH$10:$AH$258, MATCH(0, IF(TRUE=$AE$10:$AE$258, COUNTIF($AJ$9:$AJ165, $AH$10:$AH$258), ""), 0)),"")</f>
        <v>187</v>
      </c>
      <c r="AK166" s="124" t="str">
        <f t="array" ref="AK166">IFERROR(INDEX($AH$10:$AH$258, MATCH(0, IF(TRUE=$AF$10:$AF$258, COUNTIF($AK$9:$AK165, $AH$10:$AH$258), ""), 0)),"")</f>
        <v/>
      </c>
      <c r="AL166" s="30" t="str">
        <f>IFERROR(INDEX('G-6 Hedgerow Data'!$BJ$3:$BJ$15,MATCH(D166,'G-6 Hedgerow Data'!$B$3:$B$15,0)),"")</f>
        <v>Hedgecond1</v>
      </c>
    </row>
    <row r="167" spans="2:38" ht="42.75" x14ac:dyDescent="0.2">
      <c r="B167" s="110">
        <v>158</v>
      </c>
      <c r="C167" s="165" t="s">
        <v>1844</v>
      </c>
      <c r="D167" s="165" t="s">
        <v>173</v>
      </c>
      <c r="E167" s="121">
        <v>9.5100000000000004E-2</v>
      </c>
      <c r="F167" s="411" t="str">
        <f>IF(D167="","",VLOOKUP(D167,'G-6 Hedgerow Data'!$B$2:$AG$15,2,FALSE))</f>
        <v>Medium</v>
      </c>
      <c r="G167" s="363">
        <f>IF(D167="","",VLOOKUP(D167,'G-6 Hedgerow Data'!$B$2:$AG$15,3,FALSE))</f>
        <v>4</v>
      </c>
      <c r="H167" s="114" t="s">
        <v>329</v>
      </c>
      <c r="I167" s="363">
        <f>IFERROR(VLOOKUP(H167,'G-1 All Habitats'!$Z$2:$AA$9,2,FALSE),"")</f>
        <v>1</v>
      </c>
      <c r="J167" s="114" t="s">
        <v>1029</v>
      </c>
      <c r="K167" s="370" t="str">
        <f>IF(J167="","",IF(VLOOKUP(J167,'G-3 Multipliers'!$L$3:$N$6,2,FALSE)=0,"Spatial Data Missing",VLOOKUP(J167,'G-3 Multipliers'!$L$3:$N$6,2,FALSE)))</f>
        <v xml:space="preserve">High strategic significance </v>
      </c>
      <c r="L167" s="368">
        <f>IF(J167="","",IF(VLOOKUP(J167,'G-3 Multipliers'!$L$3:$N$6,3,FALSE)=0,"Spatial Data Missing ⚠",VLOOKUP(J167,'G-3 Multipliers'!$L$3:$N$6,3,FALSE)))</f>
        <v>1.1499999999999999</v>
      </c>
      <c r="M167" s="369" t="str">
        <f>IF(D167="","",VLOOKUP(D167,'G-6 Hedgerow Data'!$B$1:$AH$15,33,FALSE))</f>
        <v>Same distinctiveness band or better</v>
      </c>
      <c r="N167" s="376">
        <f t="shared" si="16"/>
        <v>0.43745999999999996</v>
      </c>
      <c r="O167" s="32"/>
      <c r="P167" s="122">
        <v>0</v>
      </c>
      <c r="Q167" s="165">
        <v>9.5100000000000004E-2</v>
      </c>
      <c r="R167" s="393">
        <f t="shared" si="17"/>
        <v>0</v>
      </c>
      <c r="S167" s="393">
        <f t="shared" si="18"/>
        <v>0.43745999999999996</v>
      </c>
      <c r="T167" s="393">
        <f t="shared" si="19"/>
        <v>0</v>
      </c>
      <c r="U167" s="415">
        <f t="shared" si="20"/>
        <v>0</v>
      </c>
      <c r="V167" s="119"/>
      <c r="W167" s="120"/>
      <c r="X167" s="120"/>
      <c r="AE167" s="124" t="b">
        <f t="shared" si="14"/>
        <v>0</v>
      </c>
      <c r="AF167" s="124" t="b">
        <f t="shared" si="15"/>
        <v>1</v>
      </c>
      <c r="AH167" s="124">
        <v>158</v>
      </c>
      <c r="AJ167" s="124">
        <f t="array" ref="AJ167">IFERROR(INDEX($AH$10:$AH$258, MATCH(0, IF(TRUE=$AE$10:$AE$258, COUNTIF($AJ$9:$AJ166, $AH$10:$AH$258), ""), 0)),"")</f>
        <v>188</v>
      </c>
      <c r="AK167" s="124" t="str">
        <f t="array" ref="AK167">IFERROR(INDEX($AH$10:$AH$258, MATCH(0, IF(TRUE=$AF$10:$AF$258, COUNTIF($AK$9:$AK166, $AH$10:$AH$258), ""), 0)),"")</f>
        <v/>
      </c>
      <c r="AL167" s="30" t="str">
        <f>IFERROR(INDEX('G-6 Hedgerow Data'!$BJ$3:$BJ$15,MATCH(D167,'G-6 Hedgerow Data'!$B$3:$B$15,0)),"")</f>
        <v>Hedgecond1</v>
      </c>
    </row>
    <row r="168" spans="2:38" ht="42.75" x14ac:dyDescent="0.2">
      <c r="B168" s="110">
        <v>159</v>
      </c>
      <c r="C168" s="165" t="s">
        <v>1845</v>
      </c>
      <c r="D168" s="165" t="s">
        <v>173</v>
      </c>
      <c r="E168" s="121">
        <v>0.13719999999999999</v>
      </c>
      <c r="F168" s="411" t="str">
        <f>IF(D168="","",VLOOKUP(D168,'G-6 Hedgerow Data'!$B$2:$AG$15,2,FALSE))</f>
        <v>Medium</v>
      </c>
      <c r="G168" s="363">
        <f>IF(D168="","",VLOOKUP(D168,'G-6 Hedgerow Data'!$B$2:$AG$15,3,FALSE))</f>
        <v>4</v>
      </c>
      <c r="H168" s="114" t="s">
        <v>68</v>
      </c>
      <c r="I168" s="363">
        <f>IFERROR(VLOOKUP(H168,'G-1 All Habitats'!$Z$2:$AA$9,2,FALSE),"")</f>
        <v>3</v>
      </c>
      <c r="J168" s="114" t="s">
        <v>1037</v>
      </c>
      <c r="K168" s="370" t="str">
        <f>IF(J168="","",IF(VLOOKUP(J168,'G-3 Multipliers'!$L$3:$N$6,2,FALSE)=0,"Spatial Data Missing",VLOOKUP(J168,'G-3 Multipliers'!$L$3:$N$6,2,FALSE)))</f>
        <v>Low Strategic Significance</v>
      </c>
      <c r="L168" s="368">
        <f>IF(J168="","",IF(VLOOKUP(J168,'G-3 Multipliers'!$L$3:$N$6,3,FALSE)=0,"Spatial Data Missing ⚠",VLOOKUP(J168,'G-3 Multipliers'!$L$3:$N$6,3,FALSE)))</f>
        <v>1</v>
      </c>
      <c r="M168" s="369" t="str">
        <f>IF(D168="","",VLOOKUP(D168,'G-6 Hedgerow Data'!$B$1:$AH$15,33,FALSE))</f>
        <v>Same distinctiveness band or better</v>
      </c>
      <c r="N168" s="376">
        <f t="shared" si="16"/>
        <v>1.6463999999999999</v>
      </c>
      <c r="O168" s="32"/>
      <c r="P168" s="122">
        <v>0.13719999999999999</v>
      </c>
      <c r="Q168" s="165">
        <v>0</v>
      </c>
      <c r="R168" s="393">
        <f t="shared" si="17"/>
        <v>1.6463999999999999</v>
      </c>
      <c r="S168" s="393">
        <f t="shared" si="18"/>
        <v>0</v>
      </c>
      <c r="T168" s="393">
        <f t="shared" si="19"/>
        <v>0</v>
      </c>
      <c r="U168" s="415">
        <f t="shared" si="20"/>
        <v>0</v>
      </c>
      <c r="V168" s="119"/>
      <c r="W168" s="120"/>
      <c r="X168" s="120"/>
      <c r="AE168" s="124" t="b">
        <f t="shared" si="14"/>
        <v>1</v>
      </c>
      <c r="AF168" s="124" t="b">
        <f t="shared" si="15"/>
        <v>0</v>
      </c>
      <c r="AH168" s="124">
        <v>159</v>
      </c>
      <c r="AJ168" s="124">
        <f t="array" ref="AJ168">IFERROR(INDEX($AH$10:$AH$258, MATCH(0, IF(TRUE=$AE$10:$AE$258, COUNTIF($AJ$9:$AJ167, $AH$10:$AH$258), ""), 0)),"")</f>
        <v>189</v>
      </c>
      <c r="AK168" s="124" t="str">
        <f t="array" ref="AK168">IFERROR(INDEX($AH$10:$AH$258, MATCH(0, IF(TRUE=$AF$10:$AF$258, COUNTIF($AK$9:$AK167, $AH$10:$AH$258), ""), 0)),"")</f>
        <v/>
      </c>
      <c r="AL168" s="30" t="str">
        <f>IFERROR(INDEX('G-6 Hedgerow Data'!$BJ$3:$BJ$15,MATCH(D168,'G-6 Hedgerow Data'!$B$3:$B$15,0)),"")</f>
        <v>Hedgecond1</v>
      </c>
    </row>
    <row r="169" spans="2:38" ht="42.75" x14ac:dyDescent="0.2">
      <c r="B169" s="110">
        <v>160</v>
      </c>
      <c r="C169" s="165" t="s">
        <v>1846</v>
      </c>
      <c r="D169" s="165" t="s">
        <v>176</v>
      </c>
      <c r="E169" s="121">
        <v>5.2600000000000001E-2</v>
      </c>
      <c r="F169" s="411" t="str">
        <f>IF(D169="","",VLOOKUP(D169,'G-6 Hedgerow Data'!$B$2:$AG$15,2,FALSE))</f>
        <v>Low</v>
      </c>
      <c r="G169" s="363">
        <f>IF(D169="","",VLOOKUP(D169,'G-6 Hedgerow Data'!$B$2:$AG$15,3,FALSE))</f>
        <v>2</v>
      </c>
      <c r="H169" s="114" t="s">
        <v>67</v>
      </c>
      <c r="I169" s="363">
        <f>IFERROR(VLOOKUP(H169,'G-1 All Habitats'!$Z$2:$AA$9,2,FALSE),"")</f>
        <v>2</v>
      </c>
      <c r="J169" s="114" t="s">
        <v>1037</v>
      </c>
      <c r="K169" s="370" t="str">
        <f>IF(J169="","",IF(VLOOKUP(J169,'G-3 Multipliers'!$L$3:$N$6,2,FALSE)=0,"Spatial Data Missing",VLOOKUP(J169,'G-3 Multipliers'!$L$3:$N$6,2,FALSE)))</f>
        <v>Low Strategic Significance</v>
      </c>
      <c r="L169" s="368">
        <f>IF(J169="","",IF(VLOOKUP(J169,'G-3 Multipliers'!$L$3:$N$6,3,FALSE)=0,"Spatial Data Missing ⚠",VLOOKUP(J169,'G-3 Multipliers'!$L$3:$N$6,3,FALSE)))</f>
        <v>1</v>
      </c>
      <c r="M169" s="369" t="str">
        <f>IF(D169="","",VLOOKUP(D169,'G-6 Hedgerow Data'!$B$1:$AH$15,33,FALSE))</f>
        <v>Same distinctiveness band or better</v>
      </c>
      <c r="N169" s="376">
        <f t="shared" si="16"/>
        <v>0.2104</v>
      </c>
      <c r="O169" s="32"/>
      <c r="P169" s="122">
        <v>5.2600000000000001E-2</v>
      </c>
      <c r="Q169" s="165">
        <v>0</v>
      </c>
      <c r="R169" s="393">
        <f t="shared" si="17"/>
        <v>0.2104</v>
      </c>
      <c r="S169" s="393">
        <f t="shared" si="18"/>
        <v>0</v>
      </c>
      <c r="T169" s="393">
        <f t="shared" si="19"/>
        <v>0</v>
      </c>
      <c r="U169" s="415">
        <f t="shared" si="20"/>
        <v>0</v>
      </c>
      <c r="V169" s="119"/>
      <c r="W169" s="120"/>
      <c r="X169" s="120"/>
      <c r="AE169" s="124" t="b">
        <f t="shared" si="14"/>
        <v>1</v>
      </c>
      <c r="AF169" s="124" t="b">
        <f t="shared" si="15"/>
        <v>0</v>
      </c>
      <c r="AH169" s="124">
        <v>160</v>
      </c>
      <c r="AJ169" s="124">
        <f t="array" ref="AJ169">IFERROR(INDEX($AH$10:$AH$258, MATCH(0, IF(TRUE=$AE$10:$AE$258, COUNTIF($AJ$9:$AJ168, $AH$10:$AH$258), ""), 0)),"")</f>
        <v>190</v>
      </c>
      <c r="AK169" s="124" t="str">
        <f t="array" ref="AK169">IFERROR(INDEX($AH$10:$AH$258, MATCH(0, IF(TRUE=$AF$10:$AF$258, COUNTIF($AK$9:$AK168, $AH$10:$AH$258), ""), 0)),"")</f>
        <v/>
      </c>
      <c r="AL169" s="30" t="str">
        <f>IFERROR(INDEX('G-6 Hedgerow Data'!$BJ$3:$BJ$15,MATCH(D169,'G-6 Hedgerow Data'!$B$3:$B$15,0)),"")</f>
        <v>Hedgecond1</v>
      </c>
    </row>
    <row r="170" spans="2:38" ht="42.75" x14ac:dyDescent="0.2">
      <c r="B170" s="110">
        <v>161</v>
      </c>
      <c r="C170" s="165" t="s">
        <v>1847</v>
      </c>
      <c r="D170" s="165" t="s">
        <v>176</v>
      </c>
      <c r="E170" s="121">
        <v>0.19450000000000001</v>
      </c>
      <c r="F170" s="411" t="str">
        <f>IF(D170="","",VLOOKUP(D170,'G-6 Hedgerow Data'!$B$2:$AG$15,2,FALSE))</f>
        <v>Low</v>
      </c>
      <c r="G170" s="363">
        <f>IF(D170="","",VLOOKUP(D170,'G-6 Hedgerow Data'!$B$2:$AG$15,3,FALSE))</f>
        <v>2</v>
      </c>
      <c r="H170" s="114" t="s">
        <v>67</v>
      </c>
      <c r="I170" s="363">
        <f>IFERROR(VLOOKUP(H170,'G-1 All Habitats'!$Z$2:$AA$9,2,FALSE),"")</f>
        <v>2</v>
      </c>
      <c r="J170" s="114" t="s">
        <v>1037</v>
      </c>
      <c r="K170" s="370" t="str">
        <f>IF(J170="","",IF(VLOOKUP(J170,'G-3 Multipliers'!$L$3:$N$6,2,FALSE)=0,"Spatial Data Missing",VLOOKUP(J170,'G-3 Multipliers'!$L$3:$N$6,2,FALSE)))</f>
        <v>Low Strategic Significance</v>
      </c>
      <c r="L170" s="368">
        <f>IF(J170="","",IF(VLOOKUP(J170,'G-3 Multipliers'!$L$3:$N$6,3,FALSE)=0,"Spatial Data Missing ⚠",VLOOKUP(J170,'G-3 Multipliers'!$L$3:$N$6,3,FALSE)))</f>
        <v>1</v>
      </c>
      <c r="M170" s="369" t="str">
        <f>IF(D170="","",VLOOKUP(D170,'G-6 Hedgerow Data'!$B$1:$AH$15,33,FALSE))</f>
        <v>Same distinctiveness band or better</v>
      </c>
      <c r="N170" s="376">
        <f t="shared" si="16"/>
        <v>0.77800000000000002</v>
      </c>
      <c r="O170" s="32"/>
      <c r="P170" s="122">
        <v>0.19450000000000001</v>
      </c>
      <c r="Q170" s="165">
        <v>0</v>
      </c>
      <c r="R170" s="393">
        <f t="shared" si="17"/>
        <v>0.77800000000000002</v>
      </c>
      <c r="S170" s="393">
        <f t="shared" si="18"/>
        <v>0</v>
      </c>
      <c r="T170" s="393">
        <f t="shared" si="19"/>
        <v>0</v>
      </c>
      <c r="U170" s="415">
        <f t="shared" si="20"/>
        <v>0</v>
      </c>
      <c r="V170" s="119"/>
      <c r="W170" s="120"/>
      <c r="X170" s="120"/>
      <c r="AE170" s="124" t="b">
        <f t="shared" si="14"/>
        <v>1</v>
      </c>
      <c r="AF170" s="124" t="b">
        <f t="shared" si="15"/>
        <v>0</v>
      </c>
      <c r="AH170" s="124">
        <v>161</v>
      </c>
      <c r="AJ170" s="124">
        <f t="array" ref="AJ170">IFERROR(INDEX($AH$10:$AH$258, MATCH(0, IF(TRUE=$AE$10:$AE$258, COUNTIF($AJ$9:$AJ169, $AH$10:$AH$258), ""), 0)),"")</f>
        <v>191</v>
      </c>
      <c r="AK170" s="124" t="str">
        <f t="array" ref="AK170">IFERROR(INDEX($AH$10:$AH$258, MATCH(0, IF(TRUE=$AF$10:$AF$258, COUNTIF($AK$9:$AK169, $AH$10:$AH$258), ""), 0)),"")</f>
        <v/>
      </c>
      <c r="AL170" s="30" t="str">
        <f>IFERROR(INDEX('G-6 Hedgerow Data'!$BJ$3:$BJ$15,MATCH(D170,'G-6 Hedgerow Data'!$B$3:$B$15,0)),"")</f>
        <v>Hedgecond1</v>
      </c>
    </row>
    <row r="171" spans="2:38" ht="42.75" x14ac:dyDescent="0.2">
      <c r="B171" s="110">
        <v>162</v>
      </c>
      <c r="C171" s="165" t="s">
        <v>1848</v>
      </c>
      <c r="D171" s="165" t="s">
        <v>171</v>
      </c>
      <c r="E171" s="121">
        <v>0.1973</v>
      </c>
      <c r="F171" s="411" t="str">
        <f>IF(D171="","",VLOOKUP(D171,'G-6 Hedgerow Data'!$B$2:$AG$15,2,FALSE))</f>
        <v>Medium</v>
      </c>
      <c r="G171" s="363">
        <f>IF(D171="","",VLOOKUP(D171,'G-6 Hedgerow Data'!$B$2:$AG$15,3,FALSE))</f>
        <v>4</v>
      </c>
      <c r="H171" s="114" t="s">
        <v>67</v>
      </c>
      <c r="I171" s="363">
        <f>IFERROR(VLOOKUP(H171,'G-1 All Habitats'!$Z$2:$AA$9,2,FALSE),"")</f>
        <v>2</v>
      </c>
      <c r="J171" s="114" t="s">
        <v>1037</v>
      </c>
      <c r="K171" s="370" t="str">
        <f>IF(J171="","",IF(VLOOKUP(J171,'G-3 Multipliers'!$L$3:$N$6,2,FALSE)=0,"Spatial Data Missing",VLOOKUP(J171,'G-3 Multipliers'!$L$3:$N$6,2,FALSE)))</f>
        <v>Low Strategic Significance</v>
      </c>
      <c r="L171" s="368">
        <f>IF(J171="","",IF(VLOOKUP(J171,'G-3 Multipliers'!$L$3:$N$6,3,FALSE)=0,"Spatial Data Missing ⚠",VLOOKUP(J171,'G-3 Multipliers'!$L$3:$N$6,3,FALSE)))</f>
        <v>1</v>
      </c>
      <c r="M171" s="369" t="str">
        <f>IF(D171="","",VLOOKUP(D171,'G-6 Hedgerow Data'!$B$1:$AH$15,33,FALSE))</f>
        <v>Same distinctiveness band or better</v>
      </c>
      <c r="N171" s="376">
        <f t="shared" si="16"/>
        <v>1.5784</v>
      </c>
      <c r="O171" s="32"/>
      <c r="P171" s="122">
        <v>0</v>
      </c>
      <c r="Q171" s="165">
        <v>0.1973</v>
      </c>
      <c r="R171" s="393">
        <f t="shared" si="17"/>
        <v>0</v>
      </c>
      <c r="S171" s="393">
        <f t="shared" si="18"/>
        <v>1.5784</v>
      </c>
      <c r="T171" s="393">
        <f t="shared" si="19"/>
        <v>0</v>
      </c>
      <c r="U171" s="415">
        <f t="shared" si="20"/>
        <v>0</v>
      </c>
      <c r="V171" s="119"/>
      <c r="W171" s="120"/>
      <c r="X171" s="120"/>
      <c r="AE171" s="124" t="b">
        <f t="shared" si="14"/>
        <v>0</v>
      </c>
      <c r="AF171" s="124" t="b">
        <f t="shared" si="15"/>
        <v>1</v>
      </c>
      <c r="AH171" s="124">
        <v>162</v>
      </c>
      <c r="AJ171" s="124">
        <f t="array" ref="AJ171">IFERROR(INDEX($AH$10:$AH$258, MATCH(0, IF(TRUE=$AE$10:$AE$258, COUNTIF($AJ$9:$AJ170, $AH$10:$AH$258), ""), 0)),"")</f>
        <v>193</v>
      </c>
      <c r="AK171" s="124" t="str">
        <f t="array" ref="AK171">IFERROR(INDEX($AH$10:$AH$258, MATCH(0, IF(TRUE=$AF$10:$AF$258, COUNTIF($AK$9:$AK170, $AH$10:$AH$258), ""), 0)),"")</f>
        <v/>
      </c>
      <c r="AL171" s="30" t="str">
        <f>IFERROR(INDEX('G-6 Hedgerow Data'!$BJ$3:$BJ$15,MATCH(D171,'G-6 Hedgerow Data'!$B$3:$B$15,0)),"")</f>
        <v>Hedgecond1</v>
      </c>
    </row>
    <row r="172" spans="2:38" ht="42.75" x14ac:dyDescent="0.2">
      <c r="B172" s="110">
        <v>163</v>
      </c>
      <c r="C172" s="165" t="s">
        <v>1849</v>
      </c>
      <c r="D172" s="165" t="s">
        <v>171</v>
      </c>
      <c r="E172" s="121">
        <v>0.22259999999999999</v>
      </c>
      <c r="F172" s="411" t="str">
        <f>IF(D172="","",VLOOKUP(D172,'G-6 Hedgerow Data'!$B$2:$AG$15,2,FALSE))</f>
        <v>Medium</v>
      </c>
      <c r="G172" s="363">
        <f>IF(D172="","",VLOOKUP(D172,'G-6 Hedgerow Data'!$B$2:$AG$15,3,FALSE))</f>
        <v>4</v>
      </c>
      <c r="H172" s="114" t="s">
        <v>67</v>
      </c>
      <c r="I172" s="363">
        <f>IFERROR(VLOOKUP(H172,'G-1 All Habitats'!$Z$2:$AA$9,2,FALSE),"")</f>
        <v>2</v>
      </c>
      <c r="J172" s="114" t="s">
        <v>1037</v>
      </c>
      <c r="K172" s="370" t="str">
        <f>IF(J172="","",IF(VLOOKUP(J172,'G-3 Multipliers'!$L$3:$N$6,2,FALSE)=0,"Spatial Data Missing",VLOOKUP(J172,'G-3 Multipliers'!$L$3:$N$6,2,FALSE)))</f>
        <v>Low Strategic Significance</v>
      </c>
      <c r="L172" s="368">
        <f>IF(J172="","",IF(VLOOKUP(J172,'G-3 Multipliers'!$L$3:$N$6,3,FALSE)=0,"Spatial Data Missing ⚠",VLOOKUP(J172,'G-3 Multipliers'!$L$3:$N$6,3,FALSE)))</f>
        <v>1</v>
      </c>
      <c r="M172" s="369" t="str">
        <f>IF(D172="","",VLOOKUP(D172,'G-6 Hedgerow Data'!$B$1:$AH$15,33,FALSE))</f>
        <v>Same distinctiveness band or better</v>
      </c>
      <c r="N172" s="376">
        <f t="shared" si="16"/>
        <v>1.7807999999999999</v>
      </c>
      <c r="O172" s="32"/>
      <c r="P172" s="122">
        <v>0.22259999999999999</v>
      </c>
      <c r="Q172" s="165">
        <v>0</v>
      </c>
      <c r="R172" s="393">
        <f t="shared" si="17"/>
        <v>1.7807999999999999</v>
      </c>
      <c r="S172" s="393">
        <f t="shared" si="18"/>
        <v>0</v>
      </c>
      <c r="T172" s="393">
        <f t="shared" si="19"/>
        <v>0</v>
      </c>
      <c r="U172" s="415">
        <f t="shared" si="20"/>
        <v>0</v>
      </c>
      <c r="V172" s="119"/>
      <c r="W172" s="120"/>
      <c r="X172" s="120"/>
      <c r="AE172" s="124" t="b">
        <f t="shared" si="14"/>
        <v>1</v>
      </c>
      <c r="AF172" s="124" t="b">
        <f t="shared" si="15"/>
        <v>0</v>
      </c>
      <c r="AH172" s="124">
        <v>163</v>
      </c>
      <c r="AJ172" s="124">
        <f t="array" ref="AJ172">IFERROR(INDEX($AH$10:$AH$258, MATCH(0, IF(TRUE=$AE$10:$AE$258, COUNTIF($AJ$9:$AJ171, $AH$10:$AH$258), ""), 0)),"")</f>
        <v>196</v>
      </c>
      <c r="AK172" s="124" t="str">
        <f t="array" ref="AK172">IFERROR(INDEX($AH$10:$AH$258, MATCH(0, IF(TRUE=$AF$10:$AF$258, COUNTIF($AK$9:$AK171, $AH$10:$AH$258), ""), 0)),"")</f>
        <v/>
      </c>
      <c r="AL172" s="30" t="str">
        <f>IFERROR(INDEX('G-6 Hedgerow Data'!$BJ$3:$BJ$15,MATCH(D172,'G-6 Hedgerow Data'!$B$3:$B$15,0)),"")</f>
        <v>Hedgecond1</v>
      </c>
    </row>
    <row r="173" spans="2:38" ht="42.75" x14ac:dyDescent="0.2">
      <c r="B173" s="110">
        <v>164</v>
      </c>
      <c r="C173" s="165" t="s">
        <v>1850</v>
      </c>
      <c r="D173" s="165" t="s">
        <v>171</v>
      </c>
      <c r="E173" s="121">
        <v>7.4399999999999994E-2</v>
      </c>
      <c r="F173" s="411" t="str">
        <f>IF(D173="","",VLOOKUP(D173,'G-6 Hedgerow Data'!$B$2:$AG$15,2,FALSE))</f>
        <v>Medium</v>
      </c>
      <c r="G173" s="363">
        <f>IF(D173="","",VLOOKUP(D173,'G-6 Hedgerow Data'!$B$2:$AG$15,3,FALSE))</f>
        <v>4</v>
      </c>
      <c r="H173" s="114" t="s">
        <v>67</v>
      </c>
      <c r="I173" s="363">
        <f>IFERROR(VLOOKUP(H173,'G-1 All Habitats'!$Z$2:$AA$9,2,FALSE),"")</f>
        <v>2</v>
      </c>
      <c r="J173" s="114" t="s">
        <v>1029</v>
      </c>
      <c r="K173" s="370" t="str">
        <f>IF(J173="","",IF(VLOOKUP(J173,'G-3 Multipliers'!$L$3:$N$6,2,FALSE)=0,"Spatial Data Missing",VLOOKUP(J173,'G-3 Multipliers'!$L$3:$N$6,2,FALSE)))</f>
        <v xml:space="preserve">High strategic significance </v>
      </c>
      <c r="L173" s="368">
        <f>IF(J173="","",IF(VLOOKUP(J173,'G-3 Multipliers'!$L$3:$N$6,3,FALSE)=0,"Spatial Data Missing ⚠",VLOOKUP(J173,'G-3 Multipliers'!$L$3:$N$6,3,FALSE)))</f>
        <v>1.1499999999999999</v>
      </c>
      <c r="M173" s="369" t="str">
        <f>IF(D173="","",VLOOKUP(D173,'G-6 Hedgerow Data'!$B$1:$AH$15,33,FALSE))</f>
        <v>Same distinctiveness band or better</v>
      </c>
      <c r="N173" s="376">
        <f t="shared" si="16"/>
        <v>0.68447999999999987</v>
      </c>
      <c r="O173" s="32"/>
      <c r="P173" s="122">
        <v>7.4399999999999994E-2</v>
      </c>
      <c r="Q173" s="165">
        <v>0</v>
      </c>
      <c r="R173" s="393">
        <f t="shared" si="17"/>
        <v>0.68447999999999987</v>
      </c>
      <c r="S173" s="393">
        <f t="shared" si="18"/>
        <v>0</v>
      </c>
      <c r="T173" s="393">
        <f t="shared" si="19"/>
        <v>0</v>
      </c>
      <c r="U173" s="415">
        <f t="shared" si="20"/>
        <v>0</v>
      </c>
      <c r="V173" s="119"/>
      <c r="W173" s="120"/>
      <c r="X173" s="120"/>
      <c r="AE173" s="124" t="b">
        <f t="shared" si="14"/>
        <v>1</v>
      </c>
      <c r="AF173" s="124" t="b">
        <f t="shared" si="15"/>
        <v>0</v>
      </c>
      <c r="AH173" s="124">
        <v>164</v>
      </c>
      <c r="AJ173" s="124">
        <f t="array" ref="AJ173">IFERROR(INDEX($AH$10:$AH$258, MATCH(0, IF(TRUE=$AE$10:$AE$258, COUNTIF($AJ$9:$AJ172, $AH$10:$AH$258), ""), 0)),"")</f>
        <v>197</v>
      </c>
      <c r="AK173" s="124" t="str">
        <f t="array" ref="AK173">IFERROR(INDEX($AH$10:$AH$258, MATCH(0, IF(TRUE=$AF$10:$AF$258, COUNTIF($AK$9:$AK172, $AH$10:$AH$258), ""), 0)),"")</f>
        <v/>
      </c>
      <c r="AL173" s="30" t="str">
        <f>IFERROR(INDEX('G-6 Hedgerow Data'!$BJ$3:$BJ$15,MATCH(D173,'G-6 Hedgerow Data'!$B$3:$B$15,0)),"")</f>
        <v>Hedgecond1</v>
      </c>
    </row>
    <row r="174" spans="2:38" ht="42.75" x14ac:dyDescent="0.2">
      <c r="B174" s="110">
        <v>165</v>
      </c>
      <c r="C174" s="165" t="s">
        <v>1851</v>
      </c>
      <c r="D174" s="165" t="s">
        <v>176</v>
      </c>
      <c r="E174" s="121">
        <v>0.24349999999999999</v>
      </c>
      <c r="F174" s="411" t="str">
        <f>IF(D174="","",VLOOKUP(D174,'G-6 Hedgerow Data'!$B$2:$AG$15,2,FALSE))</f>
        <v>Low</v>
      </c>
      <c r="G174" s="363">
        <f>IF(D174="","",VLOOKUP(D174,'G-6 Hedgerow Data'!$B$2:$AG$15,3,FALSE))</f>
        <v>2</v>
      </c>
      <c r="H174" s="114" t="s">
        <v>67</v>
      </c>
      <c r="I174" s="363">
        <f>IFERROR(VLOOKUP(H174,'G-1 All Habitats'!$Z$2:$AA$9,2,FALSE),"")</f>
        <v>2</v>
      </c>
      <c r="J174" s="114" t="s">
        <v>1037</v>
      </c>
      <c r="K174" s="370" t="str">
        <f>IF(J174="","",IF(VLOOKUP(J174,'G-3 Multipliers'!$L$3:$N$6,2,FALSE)=0,"Spatial Data Missing",VLOOKUP(J174,'G-3 Multipliers'!$L$3:$N$6,2,FALSE)))</f>
        <v>Low Strategic Significance</v>
      </c>
      <c r="L174" s="368">
        <f>IF(J174="","",IF(VLOOKUP(J174,'G-3 Multipliers'!$L$3:$N$6,3,FALSE)=0,"Spatial Data Missing ⚠",VLOOKUP(J174,'G-3 Multipliers'!$L$3:$N$6,3,FALSE)))</f>
        <v>1</v>
      </c>
      <c r="M174" s="369" t="str">
        <f>IF(D174="","",VLOOKUP(D174,'G-6 Hedgerow Data'!$B$1:$AH$15,33,FALSE))</f>
        <v>Same distinctiveness band or better</v>
      </c>
      <c r="N174" s="376">
        <f t="shared" si="16"/>
        <v>0.97399999999999998</v>
      </c>
      <c r="O174" s="32"/>
      <c r="P174" s="122">
        <v>0.2157</v>
      </c>
      <c r="Q174" s="165">
        <v>2.7799999999999998E-2</v>
      </c>
      <c r="R174" s="393">
        <f t="shared" si="17"/>
        <v>0.86280000000000001</v>
      </c>
      <c r="S174" s="393">
        <f t="shared" si="18"/>
        <v>0.11119999999999999</v>
      </c>
      <c r="T174" s="393">
        <f t="shared" si="19"/>
        <v>-6.9388939039072284E-18</v>
      </c>
      <c r="U174" s="415">
        <f t="shared" si="20"/>
        <v>-2.7755575615628914E-17</v>
      </c>
      <c r="V174" s="119"/>
      <c r="W174" s="120"/>
      <c r="X174" s="120"/>
      <c r="AE174" s="124" t="b">
        <f t="shared" si="14"/>
        <v>1</v>
      </c>
      <c r="AF174" s="124" t="b">
        <f t="shared" si="15"/>
        <v>1</v>
      </c>
      <c r="AH174" s="124">
        <v>165</v>
      </c>
      <c r="AJ174" s="124">
        <f t="array" ref="AJ174">IFERROR(INDEX($AH$10:$AH$258, MATCH(0, IF(TRUE=$AE$10:$AE$258, COUNTIF($AJ$9:$AJ173, $AH$10:$AH$258), ""), 0)),"")</f>
        <v>198</v>
      </c>
      <c r="AK174" s="124" t="str">
        <f t="array" ref="AK174">IFERROR(INDEX($AH$10:$AH$258, MATCH(0, IF(TRUE=$AF$10:$AF$258, COUNTIF($AK$9:$AK173, $AH$10:$AH$258), ""), 0)),"")</f>
        <v/>
      </c>
      <c r="AL174" s="30" t="str">
        <f>IFERROR(INDEX('G-6 Hedgerow Data'!$BJ$3:$BJ$15,MATCH(D174,'G-6 Hedgerow Data'!$B$3:$B$15,0)),"")</f>
        <v>Hedgecond1</v>
      </c>
    </row>
    <row r="175" spans="2:38" ht="42.75" x14ac:dyDescent="0.2">
      <c r="B175" s="110">
        <v>166</v>
      </c>
      <c r="C175" s="165" t="s">
        <v>1852</v>
      </c>
      <c r="D175" s="165" t="s">
        <v>176</v>
      </c>
      <c r="E175" s="121">
        <v>0.25390000000000001</v>
      </c>
      <c r="F175" s="411" t="str">
        <f>IF(D175="","",VLOOKUP(D175,'G-6 Hedgerow Data'!$B$2:$AG$15,2,FALSE))</f>
        <v>Low</v>
      </c>
      <c r="G175" s="363">
        <f>IF(D175="","",VLOOKUP(D175,'G-6 Hedgerow Data'!$B$2:$AG$15,3,FALSE))</f>
        <v>2</v>
      </c>
      <c r="H175" s="114" t="s">
        <v>68</v>
      </c>
      <c r="I175" s="363">
        <f>IFERROR(VLOOKUP(H175,'G-1 All Habitats'!$Z$2:$AA$9,2,FALSE),"")</f>
        <v>3</v>
      </c>
      <c r="J175" s="114" t="s">
        <v>1037</v>
      </c>
      <c r="K175" s="370" t="str">
        <f>IF(J175="","",IF(VLOOKUP(J175,'G-3 Multipliers'!$L$3:$N$6,2,FALSE)=0,"Spatial Data Missing",VLOOKUP(J175,'G-3 Multipliers'!$L$3:$N$6,2,FALSE)))</f>
        <v>Low Strategic Significance</v>
      </c>
      <c r="L175" s="368">
        <f>IF(J175="","",IF(VLOOKUP(J175,'G-3 Multipliers'!$L$3:$N$6,3,FALSE)=0,"Spatial Data Missing ⚠",VLOOKUP(J175,'G-3 Multipliers'!$L$3:$N$6,3,FALSE)))</f>
        <v>1</v>
      </c>
      <c r="M175" s="369" t="str">
        <f>IF(D175="","",VLOOKUP(D175,'G-6 Hedgerow Data'!$B$1:$AH$15,33,FALSE))</f>
        <v>Same distinctiveness band or better</v>
      </c>
      <c r="N175" s="376">
        <f t="shared" si="16"/>
        <v>1.5234000000000001</v>
      </c>
      <c r="O175" s="32"/>
      <c r="P175" s="122">
        <v>8.1900000000000001E-2</v>
      </c>
      <c r="Q175" s="165">
        <v>0.17199999999999999</v>
      </c>
      <c r="R175" s="393">
        <f t="shared" si="17"/>
        <v>0.4914</v>
      </c>
      <c r="S175" s="393">
        <f t="shared" si="18"/>
        <v>1.032</v>
      </c>
      <c r="T175" s="393">
        <f t="shared" si="19"/>
        <v>2.7755575615628914E-17</v>
      </c>
      <c r="U175" s="415">
        <f t="shared" si="20"/>
        <v>0</v>
      </c>
      <c r="V175" s="119"/>
      <c r="W175" s="120"/>
      <c r="X175" s="120"/>
      <c r="AE175" s="124" t="b">
        <f t="shared" si="14"/>
        <v>1</v>
      </c>
      <c r="AF175" s="124" t="b">
        <f t="shared" si="15"/>
        <v>1</v>
      </c>
      <c r="AH175" s="124">
        <v>166</v>
      </c>
      <c r="AJ175" s="124">
        <f t="array" ref="AJ175">IFERROR(INDEX($AH$10:$AH$258, MATCH(0, IF(TRUE=$AE$10:$AE$258, COUNTIF($AJ$9:$AJ174, $AH$10:$AH$258), ""), 0)),"")</f>
        <v>199</v>
      </c>
      <c r="AK175" s="124" t="str">
        <f t="array" ref="AK175">IFERROR(INDEX($AH$10:$AH$258, MATCH(0, IF(TRUE=$AF$10:$AF$258, COUNTIF($AK$9:$AK174, $AH$10:$AH$258), ""), 0)),"")</f>
        <v/>
      </c>
      <c r="AL175" s="30" t="str">
        <f>IFERROR(INDEX('G-6 Hedgerow Data'!$BJ$3:$BJ$15,MATCH(D175,'G-6 Hedgerow Data'!$B$3:$B$15,0)),"")</f>
        <v>Hedgecond1</v>
      </c>
    </row>
    <row r="176" spans="2:38" ht="42.75" x14ac:dyDescent="0.2">
      <c r="B176" s="110">
        <v>167</v>
      </c>
      <c r="C176" s="165" t="s">
        <v>1853</v>
      </c>
      <c r="D176" s="165" t="s">
        <v>171</v>
      </c>
      <c r="E176" s="121">
        <v>0.1263</v>
      </c>
      <c r="F176" s="411" t="str">
        <f>IF(D176="","",VLOOKUP(D176,'G-6 Hedgerow Data'!$B$2:$AG$15,2,FALSE))</f>
        <v>Medium</v>
      </c>
      <c r="G176" s="363">
        <f>IF(D176="","",VLOOKUP(D176,'G-6 Hedgerow Data'!$B$2:$AG$15,3,FALSE))</f>
        <v>4</v>
      </c>
      <c r="H176" s="114" t="s">
        <v>68</v>
      </c>
      <c r="I176" s="363">
        <f>IFERROR(VLOOKUP(H176,'G-1 All Habitats'!$Z$2:$AA$9,2,FALSE),"")</f>
        <v>3</v>
      </c>
      <c r="J176" s="114" t="s">
        <v>1037</v>
      </c>
      <c r="K176" s="370" t="str">
        <f>IF(J176="","",IF(VLOOKUP(J176,'G-3 Multipliers'!$L$3:$N$6,2,FALSE)=0,"Spatial Data Missing",VLOOKUP(J176,'G-3 Multipliers'!$L$3:$N$6,2,FALSE)))</f>
        <v>Low Strategic Significance</v>
      </c>
      <c r="L176" s="368">
        <f>IF(J176="","",IF(VLOOKUP(J176,'G-3 Multipliers'!$L$3:$N$6,3,FALSE)=0,"Spatial Data Missing ⚠",VLOOKUP(J176,'G-3 Multipliers'!$L$3:$N$6,3,FALSE)))</f>
        <v>1</v>
      </c>
      <c r="M176" s="369" t="str">
        <f>IF(D176="","",VLOOKUP(D176,'G-6 Hedgerow Data'!$B$1:$AH$15,33,FALSE))</f>
        <v>Same distinctiveness band or better</v>
      </c>
      <c r="N176" s="376">
        <f t="shared" si="16"/>
        <v>1.5156000000000001</v>
      </c>
      <c r="O176" s="32"/>
      <c r="P176" s="122">
        <v>0.1113</v>
      </c>
      <c r="Q176" s="165">
        <v>0</v>
      </c>
      <c r="R176" s="393">
        <f t="shared" si="17"/>
        <v>1.3355999999999999</v>
      </c>
      <c r="S176" s="393">
        <f t="shared" si="18"/>
        <v>0</v>
      </c>
      <c r="T176" s="393">
        <f t="shared" si="19"/>
        <v>1.4999999999999999E-2</v>
      </c>
      <c r="U176" s="415">
        <f t="shared" si="20"/>
        <v>0.18000000000000016</v>
      </c>
      <c r="V176" s="119" t="s">
        <v>1966</v>
      </c>
      <c r="W176" s="120"/>
      <c r="X176" s="120"/>
      <c r="AE176" s="124" t="b">
        <f t="shared" si="14"/>
        <v>1</v>
      </c>
      <c r="AF176" s="124" t="b">
        <f t="shared" si="15"/>
        <v>0</v>
      </c>
      <c r="AH176" s="124">
        <v>167</v>
      </c>
      <c r="AJ176" s="124">
        <f t="array" ref="AJ176">IFERROR(INDEX($AH$10:$AH$258, MATCH(0, IF(TRUE=$AE$10:$AE$258, COUNTIF($AJ$9:$AJ175, $AH$10:$AH$258), ""), 0)),"")</f>
        <v>201</v>
      </c>
      <c r="AK176" s="124" t="str">
        <f t="array" ref="AK176">IFERROR(INDEX($AH$10:$AH$258, MATCH(0, IF(TRUE=$AF$10:$AF$258, COUNTIF($AK$9:$AK175, $AH$10:$AH$258), ""), 0)),"")</f>
        <v/>
      </c>
      <c r="AL176" s="30" t="str">
        <f>IFERROR(INDEX('G-6 Hedgerow Data'!$BJ$3:$BJ$15,MATCH(D176,'G-6 Hedgerow Data'!$B$3:$B$15,0)),"")</f>
        <v>Hedgecond1</v>
      </c>
    </row>
    <row r="177" spans="2:38" ht="42.75" x14ac:dyDescent="0.2">
      <c r="B177" s="110">
        <v>168</v>
      </c>
      <c r="C177" s="165" t="s">
        <v>1854</v>
      </c>
      <c r="D177" s="165" t="s">
        <v>176</v>
      </c>
      <c r="E177" s="121">
        <v>0.22389999999999999</v>
      </c>
      <c r="F177" s="411" t="str">
        <f>IF(D177="","",VLOOKUP(D177,'G-6 Hedgerow Data'!$B$2:$AG$15,2,FALSE))</f>
        <v>Low</v>
      </c>
      <c r="G177" s="363">
        <f>IF(D177="","",VLOOKUP(D177,'G-6 Hedgerow Data'!$B$2:$AG$15,3,FALSE))</f>
        <v>2</v>
      </c>
      <c r="H177" s="114" t="s">
        <v>68</v>
      </c>
      <c r="I177" s="363">
        <f>IFERROR(VLOOKUP(H177,'G-1 All Habitats'!$Z$2:$AA$9,2,FALSE),"")</f>
        <v>3</v>
      </c>
      <c r="J177" s="114" t="s">
        <v>1037</v>
      </c>
      <c r="K177" s="370" t="str">
        <f>IF(J177="","",IF(VLOOKUP(J177,'G-3 Multipliers'!$L$3:$N$6,2,FALSE)=0,"Spatial Data Missing",VLOOKUP(J177,'G-3 Multipliers'!$L$3:$N$6,2,FALSE)))</f>
        <v>Low Strategic Significance</v>
      </c>
      <c r="L177" s="368">
        <f>IF(J177="","",IF(VLOOKUP(J177,'G-3 Multipliers'!$L$3:$N$6,3,FALSE)=0,"Spatial Data Missing ⚠",VLOOKUP(J177,'G-3 Multipliers'!$L$3:$N$6,3,FALSE)))</f>
        <v>1</v>
      </c>
      <c r="M177" s="369" t="str">
        <f>IF(D177="","",VLOOKUP(D177,'G-6 Hedgerow Data'!$B$1:$AH$15,33,FALSE))</f>
        <v>Same distinctiveness band or better</v>
      </c>
      <c r="N177" s="376">
        <f t="shared" si="16"/>
        <v>1.3433999999999999</v>
      </c>
      <c r="O177" s="32"/>
      <c r="P177" s="122">
        <v>0.22389999999999999</v>
      </c>
      <c r="Q177" s="165">
        <v>0</v>
      </c>
      <c r="R177" s="393">
        <f t="shared" si="17"/>
        <v>1.3433999999999999</v>
      </c>
      <c r="S177" s="393">
        <f t="shared" si="18"/>
        <v>0</v>
      </c>
      <c r="T177" s="393">
        <f t="shared" si="19"/>
        <v>0</v>
      </c>
      <c r="U177" s="415">
        <f t="shared" si="20"/>
        <v>0</v>
      </c>
      <c r="V177" s="119"/>
      <c r="W177" s="120"/>
      <c r="X177" s="120"/>
      <c r="AE177" s="124" t="b">
        <f t="shared" si="14"/>
        <v>1</v>
      </c>
      <c r="AF177" s="124" t="b">
        <f t="shared" si="15"/>
        <v>0</v>
      </c>
      <c r="AH177" s="124">
        <v>168</v>
      </c>
      <c r="AJ177" s="124">
        <f t="array" ref="AJ177">IFERROR(INDEX($AH$10:$AH$258, MATCH(0, IF(TRUE=$AE$10:$AE$258, COUNTIF($AJ$9:$AJ176, $AH$10:$AH$258), ""), 0)),"")</f>
        <v>202</v>
      </c>
      <c r="AK177" s="124" t="str">
        <f t="array" ref="AK177">IFERROR(INDEX($AH$10:$AH$258, MATCH(0, IF(TRUE=$AF$10:$AF$258, COUNTIF($AK$9:$AK176, $AH$10:$AH$258), ""), 0)),"")</f>
        <v/>
      </c>
      <c r="AL177" s="30" t="str">
        <f>IFERROR(INDEX('G-6 Hedgerow Data'!$BJ$3:$BJ$15,MATCH(D177,'G-6 Hedgerow Data'!$B$3:$B$15,0)),"")</f>
        <v>Hedgecond1</v>
      </c>
    </row>
    <row r="178" spans="2:38" ht="42.75" x14ac:dyDescent="0.2">
      <c r="B178" s="110">
        <v>169</v>
      </c>
      <c r="C178" s="165" t="s">
        <v>1855</v>
      </c>
      <c r="D178" s="165" t="s">
        <v>173</v>
      </c>
      <c r="E178" s="121">
        <v>0.15479999999999999</v>
      </c>
      <c r="F178" s="411" t="str">
        <f>IF(D178="","",VLOOKUP(D178,'G-6 Hedgerow Data'!$B$2:$AG$15,2,FALSE))</f>
        <v>Medium</v>
      </c>
      <c r="G178" s="363">
        <f>IF(D178="","",VLOOKUP(D178,'G-6 Hedgerow Data'!$B$2:$AG$15,3,FALSE))</f>
        <v>4</v>
      </c>
      <c r="H178" s="114" t="s">
        <v>67</v>
      </c>
      <c r="I178" s="363">
        <f>IFERROR(VLOOKUP(H178,'G-1 All Habitats'!$Z$2:$AA$9,2,FALSE),"")</f>
        <v>2</v>
      </c>
      <c r="J178" s="114" t="s">
        <v>1029</v>
      </c>
      <c r="K178" s="370" t="str">
        <f>IF(J178="","",IF(VLOOKUP(J178,'G-3 Multipliers'!$L$3:$N$6,2,FALSE)=0,"Spatial Data Missing",VLOOKUP(J178,'G-3 Multipliers'!$L$3:$N$6,2,FALSE)))</f>
        <v xml:space="preserve">High strategic significance </v>
      </c>
      <c r="L178" s="368">
        <f>IF(J178="","",IF(VLOOKUP(J178,'G-3 Multipliers'!$L$3:$N$6,3,FALSE)=0,"Spatial Data Missing ⚠",VLOOKUP(J178,'G-3 Multipliers'!$L$3:$N$6,3,FALSE)))</f>
        <v>1.1499999999999999</v>
      </c>
      <c r="M178" s="369" t="str">
        <f>IF(D178="","",VLOOKUP(D178,'G-6 Hedgerow Data'!$B$1:$AH$15,33,FALSE))</f>
        <v>Same distinctiveness band or better</v>
      </c>
      <c r="N178" s="376">
        <f t="shared" si="16"/>
        <v>1.4241599999999999</v>
      </c>
      <c r="O178" s="32"/>
      <c r="P178" s="122">
        <v>0.15479999999999999</v>
      </c>
      <c r="Q178" s="165">
        <v>0</v>
      </c>
      <c r="R178" s="393">
        <f t="shared" si="17"/>
        <v>1.4241599999999999</v>
      </c>
      <c r="S178" s="393">
        <f t="shared" si="18"/>
        <v>0</v>
      </c>
      <c r="T178" s="393">
        <f t="shared" si="19"/>
        <v>0</v>
      </c>
      <c r="U178" s="415">
        <f t="shared" si="20"/>
        <v>0</v>
      </c>
      <c r="V178" s="119"/>
      <c r="W178" s="120"/>
      <c r="X178" s="120"/>
      <c r="AE178" s="124" t="b">
        <f t="shared" si="14"/>
        <v>1</v>
      </c>
      <c r="AF178" s="124" t="b">
        <f t="shared" si="15"/>
        <v>0</v>
      </c>
      <c r="AH178" s="124">
        <v>169</v>
      </c>
      <c r="AJ178" s="124">
        <f t="array" ref="AJ178">IFERROR(INDEX($AH$10:$AH$258, MATCH(0, IF(TRUE=$AE$10:$AE$258, COUNTIF($AJ$9:$AJ177, $AH$10:$AH$258), ""), 0)),"")</f>
        <v>203</v>
      </c>
      <c r="AK178" s="124" t="str">
        <f t="array" ref="AK178">IFERROR(INDEX($AH$10:$AH$258, MATCH(0, IF(TRUE=$AF$10:$AF$258, COUNTIF($AK$9:$AK177, $AH$10:$AH$258), ""), 0)),"")</f>
        <v/>
      </c>
      <c r="AL178" s="30" t="str">
        <f>IFERROR(INDEX('G-6 Hedgerow Data'!$BJ$3:$BJ$15,MATCH(D178,'G-6 Hedgerow Data'!$B$3:$B$15,0)),"")</f>
        <v>Hedgecond1</v>
      </c>
    </row>
    <row r="179" spans="2:38" ht="42.75" x14ac:dyDescent="0.2">
      <c r="B179" s="110">
        <v>170</v>
      </c>
      <c r="C179" s="165" t="s">
        <v>1856</v>
      </c>
      <c r="D179" s="165" t="s">
        <v>171</v>
      </c>
      <c r="E179" s="121">
        <v>0.39939999999999998</v>
      </c>
      <c r="F179" s="411" t="str">
        <f>IF(D179="","",VLOOKUP(D179,'G-6 Hedgerow Data'!$B$2:$AG$15,2,FALSE))</f>
        <v>Medium</v>
      </c>
      <c r="G179" s="363">
        <f>IF(D179="","",VLOOKUP(D179,'G-6 Hedgerow Data'!$B$2:$AG$15,3,FALSE))</f>
        <v>4</v>
      </c>
      <c r="H179" s="114" t="s">
        <v>68</v>
      </c>
      <c r="I179" s="363">
        <f>IFERROR(VLOOKUP(H179,'G-1 All Habitats'!$Z$2:$AA$9,2,FALSE),"")</f>
        <v>3</v>
      </c>
      <c r="J179" s="114" t="s">
        <v>1037</v>
      </c>
      <c r="K179" s="370" t="str">
        <f>IF(J179="","",IF(VLOOKUP(J179,'G-3 Multipliers'!$L$3:$N$6,2,FALSE)=0,"Spatial Data Missing",VLOOKUP(J179,'G-3 Multipliers'!$L$3:$N$6,2,FALSE)))</f>
        <v>Low Strategic Significance</v>
      </c>
      <c r="L179" s="368">
        <f>IF(J179="","",IF(VLOOKUP(J179,'G-3 Multipliers'!$L$3:$N$6,3,FALSE)=0,"Spatial Data Missing ⚠",VLOOKUP(J179,'G-3 Multipliers'!$L$3:$N$6,3,FALSE)))</f>
        <v>1</v>
      </c>
      <c r="M179" s="369" t="str">
        <f>IF(D179="","",VLOOKUP(D179,'G-6 Hedgerow Data'!$B$1:$AH$15,33,FALSE))</f>
        <v>Same distinctiveness band or better</v>
      </c>
      <c r="N179" s="376">
        <f t="shared" si="16"/>
        <v>4.7927999999999997</v>
      </c>
      <c r="O179" s="32"/>
      <c r="P179" s="122">
        <v>3.1699999999999999E-2</v>
      </c>
      <c r="Q179" s="165">
        <v>0.36270000000000002</v>
      </c>
      <c r="R179" s="393">
        <f t="shared" si="17"/>
        <v>0.38039999999999996</v>
      </c>
      <c r="S179" s="393">
        <f t="shared" si="18"/>
        <v>4.3524000000000003</v>
      </c>
      <c r="T179" s="393">
        <f t="shared" si="19"/>
        <v>4.9999999999999489E-3</v>
      </c>
      <c r="U179" s="415">
        <f t="shared" si="20"/>
        <v>5.9999999999999609E-2</v>
      </c>
      <c r="V179" s="119" t="s">
        <v>1967</v>
      </c>
      <c r="W179" s="120"/>
      <c r="X179" s="120"/>
      <c r="AE179" s="124" t="b">
        <f t="shared" si="14"/>
        <v>1</v>
      </c>
      <c r="AF179" s="124" t="b">
        <f t="shared" si="15"/>
        <v>1</v>
      </c>
      <c r="AH179" s="124">
        <v>170</v>
      </c>
      <c r="AJ179" s="124">
        <f t="array" ref="AJ179">IFERROR(INDEX($AH$10:$AH$258, MATCH(0, IF(TRUE=$AE$10:$AE$258, COUNTIF($AJ$9:$AJ178, $AH$10:$AH$258), ""), 0)),"")</f>
        <v>204</v>
      </c>
      <c r="AK179" s="124" t="str">
        <f t="array" ref="AK179">IFERROR(INDEX($AH$10:$AH$258, MATCH(0, IF(TRUE=$AF$10:$AF$258, COUNTIF($AK$9:$AK178, $AH$10:$AH$258), ""), 0)),"")</f>
        <v/>
      </c>
      <c r="AL179" s="30" t="str">
        <f>IFERROR(INDEX('G-6 Hedgerow Data'!$BJ$3:$BJ$15,MATCH(D179,'G-6 Hedgerow Data'!$B$3:$B$15,0)),"")</f>
        <v>Hedgecond1</v>
      </c>
    </row>
    <row r="180" spans="2:38" ht="28.5" x14ac:dyDescent="0.2">
      <c r="B180" s="110">
        <v>171</v>
      </c>
      <c r="C180" s="165" t="s">
        <v>1857</v>
      </c>
      <c r="D180" s="165" t="s">
        <v>168</v>
      </c>
      <c r="E180" s="121">
        <v>0.42209999999999998</v>
      </c>
      <c r="F180" s="411" t="str">
        <f>IF(D180="","",VLOOKUP(D180,'G-6 Hedgerow Data'!$B$2:$AG$15,2,FALSE))</f>
        <v>High</v>
      </c>
      <c r="G180" s="363">
        <f>IF(D180="","",VLOOKUP(D180,'G-6 Hedgerow Data'!$B$2:$AG$15,3,FALSE))</f>
        <v>6</v>
      </c>
      <c r="H180" s="114" t="s">
        <v>68</v>
      </c>
      <c r="I180" s="363">
        <f>IFERROR(VLOOKUP(H180,'G-1 All Habitats'!$Z$2:$AA$9,2,FALSE),"")</f>
        <v>3</v>
      </c>
      <c r="J180" s="114" t="s">
        <v>1029</v>
      </c>
      <c r="K180" s="370" t="str">
        <f>IF(J180="","",IF(VLOOKUP(J180,'G-3 Multipliers'!$L$3:$N$6,2,FALSE)=0,"Spatial Data Missing",VLOOKUP(J180,'G-3 Multipliers'!$L$3:$N$6,2,FALSE)))</f>
        <v xml:space="preserve">High strategic significance </v>
      </c>
      <c r="L180" s="368">
        <f>IF(J180="","",IF(VLOOKUP(J180,'G-3 Multipliers'!$L$3:$N$6,3,FALSE)=0,"Spatial Data Missing ⚠",VLOOKUP(J180,'G-3 Multipliers'!$L$3:$N$6,3,FALSE)))</f>
        <v>1.1499999999999999</v>
      </c>
      <c r="M180" s="369" t="str">
        <f>IF(D180="","",VLOOKUP(D180,'G-6 Hedgerow Data'!$B$1:$AH$15,33,FALSE))</f>
        <v>Like for like or better</v>
      </c>
      <c r="N180" s="376">
        <f t="shared" si="16"/>
        <v>8.7374699999999983</v>
      </c>
      <c r="O180" s="32"/>
      <c r="P180" s="122">
        <v>0.42209999999999998</v>
      </c>
      <c r="Q180" s="165">
        <v>0</v>
      </c>
      <c r="R180" s="393">
        <f t="shared" si="17"/>
        <v>8.7374699999999983</v>
      </c>
      <c r="S180" s="393">
        <f t="shared" si="18"/>
        <v>0</v>
      </c>
      <c r="T180" s="393">
        <f t="shared" si="19"/>
        <v>0</v>
      </c>
      <c r="U180" s="415">
        <f t="shared" si="20"/>
        <v>0</v>
      </c>
      <c r="V180" s="119"/>
      <c r="W180" s="120"/>
      <c r="X180" s="120"/>
      <c r="AE180" s="124" t="b">
        <f t="shared" si="14"/>
        <v>1</v>
      </c>
      <c r="AF180" s="124" t="b">
        <f t="shared" si="15"/>
        <v>0</v>
      </c>
      <c r="AH180" s="124">
        <v>171</v>
      </c>
      <c r="AJ180" s="124">
        <f t="array" ref="AJ180">IFERROR(INDEX($AH$10:$AH$258, MATCH(0, IF(TRUE=$AE$10:$AE$258, COUNTIF($AJ$9:$AJ179, $AH$10:$AH$258), ""), 0)),"")</f>
        <v>205</v>
      </c>
      <c r="AK180" s="124" t="str">
        <f t="array" ref="AK180">IFERROR(INDEX($AH$10:$AH$258, MATCH(0, IF(TRUE=$AF$10:$AF$258, COUNTIF($AK$9:$AK179, $AH$10:$AH$258), ""), 0)),"")</f>
        <v/>
      </c>
      <c r="AL180" s="30" t="str">
        <f>IFERROR(INDEX('G-6 Hedgerow Data'!$BJ$3:$BJ$15,MATCH(D180,'G-6 Hedgerow Data'!$B$3:$B$15,0)),"")</f>
        <v>Hedgecond1</v>
      </c>
    </row>
    <row r="181" spans="2:38" ht="42.75" x14ac:dyDescent="0.2">
      <c r="B181" s="110">
        <v>172</v>
      </c>
      <c r="C181" s="165" t="s">
        <v>1858</v>
      </c>
      <c r="D181" s="165" t="s">
        <v>176</v>
      </c>
      <c r="E181" s="121">
        <v>0.1542</v>
      </c>
      <c r="F181" s="411" t="str">
        <f>IF(D181="","",VLOOKUP(D181,'G-6 Hedgerow Data'!$B$2:$AG$15,2,FALSE))</f>
        <v>Low</v>
      </c>
      <c r="G181" s="363">
        <f>IF(D181="","",VLOOKUP(D181,'G-6 Hedgerow Data'!$B$2:$AG$15,3,FALSE))</f>
        <v>2</v>
      </c>
      <c r="H181" s="114" t="s">
        <v>68</v>
      </c>
      <c r="I181" s="363">
        <f>IFERROR(VLOOKUP(H181,'G-1 All Habitats'!$Z$2:$AA$9,2,FALSE),"")</f>
        <v>3</v>
      </c>
      <c r="J181" s="114" t="s">
        <v>1037</v>
      </c>
      <c r="K181" s="370" t="str">
        <f>IF(J181="","",IF(VLOOKUP(J181,'G-3 Multipliers'!$L$3:$N$6,2,FALSE)=0,"Spatial Data Missing",VLOOKUP(J181,'G-3 Multipliers'!$L$3:$N$6,2,FALSE)))</f>
        <v>Low Strategic Significance</v>
      </c>
      <c r="L181" s="368">
        <f>IF(J181="","",IF(VLOOKUP(J181,'G-3 Multipliers'!$L$3:$N$6,3,FALSE)=0,"Spatial Data Missing ⚠",VLOOKUP(J181,'G-3 Multipliers'!$L$3:$N$6,3,FALSE)))</f>
        <v>1</v>
      </c>
      <c r="M181" s="369" t="str">
        <f>IF(D181="","",VLOOKUP(D181,'G-6 Hedgerow Data'!$B$1:$AH$15,33,FALSE))</f>
        <v>Same distinctiveness band or better</v>
      </c>
      <c r="N181" s="376">
        <f t="shared" si="16"/>
        <v>0.92520000000000002</v>
      </c>
      <c r="O181" s="32"/>
      <c r="P181" s="122">
        <v>0.1542</v>
      </c>
      <c r="Q181" s="165">
        <v>0</v>
      </c>
      <c r="R181" s="393">
        <f t="shared" si="17"/>
        <v>0.92520000000000002</v>
      </c>
      <c r="S181" s="393">
        <f t="shared" si="18"/>
        <v>0</v>
      </c>
      <c r="T181" s="393">
        <f t="shared" si="19"/>
        <v>0</v>
      </c>
      <c r="U181" s="415">
        <f t="shared" si="20"/>
        <v>0</v>
      </c>
      <c r="V181" s="119"/>
      <c r="W181" s="120"/>
      <c r="X181" s="120"/>
      <c r="AE181" s="124" t="b">
        <f t="shared" si="14"/>
        <v>1</v>
      </c>
      <c r="AF181" s="124" t="b">
        <f t="shared" si="15"/>
        <v>0</v>
      </c>
      <c r="AH181" s="124">
        <v>172</v>
      </c>
      <c r="AJ181" s="124">
        <f t="array" ref="AJ181">IFERROR(INDEX($AH$10:$AH$258, MATCH(0, IF(TRUE=$AE$10:$AE$258, COUNTIF($AJ$9:$AJ180, $AH$10:$AH$258), ""), 0)),"")</f>
        <v>206</v>
      </c>
      <c r="AK181" s="124" t="str">
        <f t="array" ref="AK181">IFERROR(INDEX($AH$10:$AH$258, MATCH(0, IF(TRUE=$AF$10:$AF$258, COUNTIF($AK$9:$AK180, $AH$10:$AH$258), ""), 0)),"")</f>
        <v/>
      </c>
      <c r="AL181" s="30" t="str">
        <f>IFERROR(INDEX('G-6 Hedgerow Data'!$BJ$3:$BJ$15,MATCH(D181,'G-6 Hedgerow Data'!$B$3:$B$15,0)),"")</f>
        <v>Hedgecond1</v>
      </c>
    </row>
    <row r="182" spans="2:38" ht="42.75" x14ac:dyDescent="0.2">
      <c r="B182" s="110">
        <v>173</v>
      </c>
      <c r="C182" s="165" t="s">
        <v>1859</v>
      </c>
      <c r="D182" s="165" t="s">
        <v>171</v>
      </c>
      <c r="E182" s="121">
        <v>0.3221</v>
      </c>
      <c r="F182" s="411" t="str">
        <f>IF(D182="","",VLOOKUP(D182,'G-6 Hedgerow Data'!$B$2:$AG$15,2,FALSE))</f>
        <v>Medium</v>
      </c>
      <c r="G182" s="363">
        <f>IF(D182="","",VLOOKUP(D182,'G-6 Hedgerow Data'!$B$2:$AG$15,3,FALSE))</f>
        <v>4</v>
      </c>
      <c r="H182" s="114" t="s">
        <v>67</v>
      </c>
      <c r="I182" s="363">
        <f>IFERROR(VLOOKUP(H182,'G-1 All Habitats'!$Z$2:$AA$9,2,FALSE),"")</f>
        <v>2</v>
      </c>
      <c r="J182" s="114" t="s">
        <v>1037</v>
      </c>
      <c r="K182" s="370" t="str">
        <f>IF(J182="","",IF(VLOOKUP(J182,'G-3 Multipliers'!$L$3:$N$6,2,FALSE)=0,"Spatial Data Missing",VLOOKUP(J182,'G-3 Multipliers'!$L$3:$N$6,2,FALSE)))</f>
        <v>Low Strategic Significance</v>
      </c>
      <c r="L182" s="368">
        <f>IF(J182="","",IF(VLOOKUP(J182,'G-3 Multipliers'!$L$3:$N$6,3,FALSE)=0,"Spatial Data Missing ⚠",VLOOKUP(J182,'G-3 Multipliers'!$L$3:$N$6,3,FALSE)))</f>
        <v>1</v>
      </c>
      <c r="M182" s="369" t="str">
        <f>IF(D182="","",VLOOKUP(D182,'G-6 Hedgerow Data'!$B$1:$AH$15,33,FALSE))</f>
        <v>Same distinctiveness band or better</v>
      </c>
      <c r="N182" s="376">
        <f t="shared" si="16"/>
        <v>2.5768</v>
      </c>
      <c r="O182" s="32"/>
      <c r="P182" s="122">
        <v>0.3221</v>
      </c>
      <c r="Q182" s="165">
        <v>0</v>
      </c>
      <c r="R182" s="393">
        <f t="shared" si="17"/>
        <v>2.5768</v>
      </c>
      <c r="S182" s="393">
        <f t="shared" si="18"/>
        <v>0</v>
      </c>
      <c r="T182" s="393">
        <f t="shared" si="19"/>
        <v>0</v>
      </c>
      <c r="U182" s="415">
        <f t="shared" si="20"/>
        <v>0</v>
      </c>
      <c r="V182" s="119"/>
      <c r="W182" s="120"/>
      <c r="X182" s="120"/>
      <c r="AE182" s="124" t="b">
        <f t="shared" si="14"/>
        <v>1</v>
      </c>
      <c r="AF182" s="124" t="b">
        <f t="shared" si="15"/>
        <v>0</v>
      </c>
      <c r="AH182" s="124">
        <v>173</v>
      </c>
      <c r="AJ182" s="124">
        <f t="array" ref="AJ182">IFERROR(INDEX($AH$10:$AH$258, MATCH(0, IF(TRUE=$AE$10:$AE$258, COUNTIF($AJ$9:$AJ181, $AH$10:$AH$258), ""), 0)),"")</f>
        <v>207</v>
      </c>
      <c r="AK182" s="124" t="str">
        <f t="array" ref="AK182">IFERROR(INDEX($AH$10:$AH$258, MATCH(0, IF(TRUE=$AF$10:$AF$258, COUNTIF($AK$9:$AK181, $AH$10:$AH$258), ""), 0)),"")</f>
        <v/>
      </c>
      <c r="AL182" s="30" t="str">
        <f>IFERROR(INDEX('G-6 Hedgerow Data'!$BJ$3:$BJ$15,MATCH(D182,'G-6 Hedgerow Data'!$B$3:$B$15,0)),"")</f>
        <v>Hedgecond1</v>
      </c>
    </row>
    <row r="183" spans="2:38" ht="42.75" x14ac:dyDescent="0.2">
      <c r="B183" s="110">
        <v>174</v>
      </c>
      <c r="C183" s="165" t="s">
        <v>1860</v>
      </c>
      <c r="D183" s="165" t="s">
        <v>176</v>
      </c>
      <c r="E183" s="121">
        <v>0.74939999999999996</v>
      </c>
      <c r="F183" s="411" t="str">
        <f>IF(D183="","",VLOOKUP(D183,'G-6 Hedgerow Data'!$B$2:$AG$15,2,FALSE))</f>
        <v>Low</v>
      </c>
      <c r="G183" s="363">
        <f>IF(D183="","",VLOOKUP(D183,'G-6 Hedgerow Data'!$B$2:$AG$15,3,FALSE))</f>
        <v>2</v>
      </c>
      <c r="H183" s="114" t="s">
        <v>68</v>
      </c>
      <c r="I183" s="363">
        <f>IFERROR(VLOOKUP(H183,'G-1 All Habitats'!$Z$2:$AA$9,2,FALSE),"")</f>
        <v>3</v>
      </c>
      <c r="J183" s="114" t="s">
        <v>1037</v>
      </c>
      <c r="K183" s="370" t="str">
        <f>IF(J183="","",IF(VLOOKUP(J183,'G-3 Multipliers'!$L$3:$N$6,2,FALSE)=0,"Spatial Data Missing",VLOOKUP(J183,'G-3 Multipliers'!$L$3:$N$6,2,FALSE)))</f>
        <v>Low Strategic Significance</v>
      </c>
      <c r="L183" s="368">
        <f>IF(J183="","",IF(VLOOKUP(J183,'G-3 Multipliers'!$L$3:$N$6,3,FALSE)=0,"Spatial Data Missing ⚠",VLOOKUP(J183,'G-3 Multipliers'!$L$3:$N$6,3,FALSE)))</f>
        <v>1</v>
      </c>
      <c r="M183" s="369" t="str">
        <f>IF(D183="","",VLOOKUP(D183,'G-6 Hedgerow Data'!$B$1:$AH$15,33,FALSE))</f>
        <v>Same distinctiveness band or better</v>
      </c>
      <c r="N183" s="376">
        <f t="shared" si="16"/>
        <v>4.4963999999999995</v>
      </c>
      <c r="O183" s="32"/>
      <c r="P183" s="122">
        <v>0.74439999999999995</v>
      </c>
      <c r="Q183" s="165">
        <v>0</v>
      </c>
      <c r="R183" s="393">
        <f t="shared" si="17"/>
        <v>4.4664000000000001</v>
      </c>
      <c r="S183" s="393">
        <f t="shared" si="18"/>
        <v>0</v>
      </c>
      <c r="T183" s="393">
        <f t="shared" si="19"/>
        <v>5.0000000000000044E-3</v>
      </c>
      <c r="U183" s="415">
        <f t="shared" si="20"/>
        <v>2.9999999999999361E-2</v>
      </c>
      <c r="V183" s="119" t="s">
        <v>1968</v>
      </c>
      <c r="W183" s="120"/>
      <c r="X183" s="120"/>
      <c r="AE183" s="124" t="b">
        <f t="shared" si="14"/>
        <v>1</v>
      </c>
      <c r="AF183" s="124" t="b">
        <f t="shared" si="15"/>
        <v>0</v>
      </c>
      <c r="AH183" s="124">
        <v>174</v>
      </c>
      <c r="AJ183" s="124">
        <f t="array" ref="AJ183">IFERROR(INDEX($AH$10:$AH$258, MATCH(0, IF(TRUE=$AE$10:$AE$258, COUNTIF($AJ$9:$AJ182, $AH$10:$AH$258), ""), 0)),"")</f>
        <v>208</v>
      </c>
      <c r="AK183" s="124" t="str">
        <f t="array" ref="AK183">IFERROR(INDEX($AH$10:$AH$258, MATCH(0, IF(TRUE=$AF$10:$AF$258, COUNTIF($AK$9:$AK182, $AH$10:$AH$258), ""), 0)),"")</f>
        <v/>
      </c>
      <c r="AL183" s="30" t="str">
        <f>IFERROR(INDEX('G-6 Hedgerow Data'!$BJ$3:$BJ$15,MATCH(D183,'G-6 Hedgerow Data'!$B$3:$B$15,0)),"")</f>
        <v>Hedgecond1</v>
      </c>
    </row>
    <row r="184" spans="2:38" ht="42.75" x14ac:dyDescent="0.2">
      <c r="B184" s="110">
        <v>175</v>
      </c>
      <c r="C184" s="165" t="s">
        <v>1861</v>
      </c>
      <c r="D184" s="165" t="s">
        <v>176</v>
      </c>
      <c r="E184" s="121">
        <v>0.10539999999999999</v>
      </c>
      <c r="F184" s="411" t="str">
        <f>IF(D184="","",VLOOKUP(D184,'G-6 Hedgerow Data'!$B$2:$AG$15,2,FALSE))</f>
        <v>Low</v>
      </c>
      <c r="G184" s="363">
        <f>IF(D184="","",VLOOKUP(D184,'G-6 Hedgerow Data'!$B$2:$AG$15,3,FALSE))</f>
        <v>2</v>
      </c>
      <c r="H184" s="114" t="s">
        <v>68</v>
      </c>
      <c r="I184" s="363">
        <f>IFERROR(VLOOKUP(H184,'G-1 All Habitats'!$Z$2:$AA$9,2,FALSE),"")</f>
        <v>3</v>
      </c>
      <c r="J184" s="114" t="s">
        <v>1037</v>
      </c>
      <c r="K184" s="370" t="str">
        <f>IF(J184="","",IF(VLOOKUP(J184,'G-3 Multipliers'!$L$3:$N$6,2,FALSE)=0,"Spatial Data Missing",VLOOKUP(J184,'G-3 Multipliers'!$L$3:$N$6,2,FALSE)))</f>
        <v>Low Strategic Significance</v>
      </c>
      <c r="L184" s="368">
        <f>IF(J184="","",IF(VLOOKUP(J184,'G-3 Multipliers'!$L$3:$N$6,3,FALSE)=0,"Spatial Data Missing ⚠",VLOOKUP(J184,'G-3 Multipliers'!$L$3:$N$6,3,FALSE)))</f>
        <v>1</v>
      </c>
      <c r="M184" s="369" t="str">
        <f>IF(D184="","",VLOOKUP(D184,'G-6 Hedgerow Data'!$B$1:$AH$15,33,FALSE))</f>
        <v>Same distinctiveness band or better</v>
      </c>
      <c r="N184" s="376">
        <f t="shared" si="16"/>
        <v>0.63239999999999996</v>
      </c>
      <c r="O184" s="32"/>
      <c r="P184" s="122">
        <v>0.10539999999999999</v>
      </c>
      <c r="Q184" s="165">
        <v>0</v>
      </c>
      <c r="R184" s="393">
        <f t="shared" si="17"/>
        <v>0.63239999999999996</v>
      </c>
      <c r="S184" s="393">
        <f t="shared" si="18"/>
        <v>0</v>
      </c>
      <c r="T184" s="393">
        <f t="shared" si="19"/>
        <v>0</v>
      </c>
      <c r="U184" s="415">
        <f t="shared" si="20"/>
        <v>0</v>
      </c>
      <c r="V184" s="119"/>
      <c r="W184" s="120"/>
      <c r="X184" s="120"/>
      <c r="AE184" s="124" t="b">
        <f t="shared" si="14"/>
        <v>1</v>
      </c>
      <c r="AF184" s="124" t="b">
        <f t="shared" si="15"/>
        <v>0</v>
      </c>
      <c r="AH184" s="124">
        <v>175</v>
      </c>
      <c r="AJ184" s="124">
        <f t="array" ref="AJ184">IFERROR(INDEX($AH$10:$AH$258, MATCH(0, IF(TRUE=$AE$10:$AE$258, COUNTIF($AJ$9:$AJ183, $AH$10:$AH$258), ""), 0)),"")</f>
        <v>209</v>
      </c>
      <c r="AK184" s="124" t="str">
        <f t="array" ref="AK184">IFERROR(INDEX($AH$10:$AH$258, MATCH(0, IF(TRUE=$AF$10:$AF$258, COUNTIF($AK$9:$AK183, $AH$10:$AH$258), ""), 0)),"")</f>
        <v/>
      </c>
      <c r="AL184" s="30" t="str">
        <f>IFERROR(INDEX('G-6 Hedgerow Data'!$BJ$3:$BJ$15,MATCH(D184,'G-6 Hedgerow Data'!$B$3:$B$15,0)),"")</f>
        <v>Hedgecond1</v>
      </c>
    </row>
    <row r="185" spans="2:38" ht="42.75" x14ac:dyDescent="0.2">
      <c r="B185" s="110">
        <v>176</v>
      </c>
      <c r="C185" s="165" t="s">
        <v>1862</v>
      </c>
      <c r="D185" s="165" t="s">
        <v>176</v>
      </c>
      <c r="E185" s="121">
        <v>0.21829999999999999</v>
      </c>
      <c r="F185" s="411" t="str">
        <f>IF(D185="","",VLOOKUP(D185,'G-6 Hedgerow Data'!$B$2:$AG$15,2,FALSE))</f>
        <v>Low</v>
      </c>
      <c r="G185" s="363">
        <f>IF(D185="","",VLOOKUP(D185,'G-6 Hedgerow Data'!$B$2:$AG$15,3,FALSE))</f>
        <v>2</v>
      </c>
      <c r="H185" s="114" t="s">
        <v>68</v>
      </c>
      <c r="I185" s="363">
        <f>IFERROR(VLOOKUP(H185,'G-1 All Habitats'!$Z$2:$AA$9,2,FALSE),"")</f>
        <v>3</v>
      </c>
      <c r="J185" s="114" t="s">
        <v>1037</v>
      </c>
      <c r="K185" s="370" t="str">
        <f>IF(J185="","",IF(VLOOKUP(J185,'G-3 Multipliers'!$L$3:$N$6,2,FALSE)=0,"Spatial Data Missing",VLOOKUP(J185,'G-3 Multipliers'!$L$3:$N$6,2,FALSE)))</f>
        <v>Low Strategic Significance</v>
      </c>
      <c r="L185" s="368">
        <f>IF(J185="","",IF(VLOOKUP(J185,'G-3 Multipliers'!$L$3:$N$6,3,FALSE)=0,"Spatial Data Missing ⚠",VLOOKUP(J185,'G-3 Multipliers'!$L$3:$N$6,3,FALSE)))</f>
        <v>1</v>
      </c>
      <c r="M185" s="369" t="str">
        <f>IF(D185="","",VLOOKUP(D185,'G-6 Hedgerow Data'!$B$1:$AH$15,33,FALSE))</f>
        <v>Same distinctiveness band or better</v>
      </c>
      <c r="N185" s="376">
        <f t="shared" si="16"/>
        <v>1.3098000000000001</v>
      </c>
      <c r="O185" s="32"/>
      <c r="P185" s="122">
        <v>0.21829999999999999</v>
      </c>
      <c r="Q185" s="165">
        <v>0</v>
      </c>
      <c r="R185" s="393">
        <f t="shared" si="17"/>
        <v>1.3098000000000001</v>
      </c>
      <c r="S185" s="393">
        <f t="shared" si="18"/>
        <v>0</v>
      </c>
      <c r="T185" s="393">
        <f t="shared" si="19"/>
        <v>0</v>
      </c>
      <c r="U185" s="415">
        <f t="shared" si="20"/>
        <v>0</v>
      </c>
      <c r="V185" s="119"/>
      <c r="W185" s="120"/>
      <c r="X185" s="120"/>
      <c r="AE185" s="124" t="b">
        <f t="shared" si="14"/>
        <v>1</v>
      </c>
      <c r="AF185" s="124" t="b">
        <f t="shared" si="15"/>
        <v>0</v>
      </c>
      <c r="AH185" s="124">
        <v>176</v>
      </c>
      <c r="AJ185" s="124">
        <f t="array" ref="AJ185">IFERROR(INDEX($AH$10:$AH$258, MATCH(0, IF(TRUE=$AE$10:$AE$258, COUNTIF($AJ$9:$AJ184, $AH$10:$AH$258), ""), 0)),"")</f>
        <v>210</v>
      </c>
      <c r="AK185" s="124" t="str">
        <f t="array" ref="AK185">IFERROR(INDEX($AH$10:$AH$258, MATCH(0, IF(TRUE=$AF$10:$AF$258, COUNTIF($AK$9:$AK184, $AH$10:$AH$258), ""), 0)),"")</f>
        <v/>
      </c>
      <c r="AL185" s="30" t="str">
        <f>IFERROR(INDEX('G-6 Hedgerow Data'!$BJ$3:$BJ$15,MATCH(D185,'G-6 Hedgerow Data'!$B$3:$B$15,0)),"")</f>
        <v>Hedgecond1</v>
      </c>
    </row>
    <row r="186" spans="2:38" ht="42.75" x14ac:dyDescent="0.2">
      <c r="B186" s="110">
        <v>177</v>
      </c>
      <c r="C186" s="165" t="s">
        <v>1863</v>
      </c>
      <c r="D186" s="165" t="s">
        <v>176</v>
      </c>
      <c r="E186" s="121">
        <v>0.3674</v>
      </c>
      <c r="F186" s="411" t="str">
        <f>IF(D186="","",VLOOKUP(D186,'G-6 Hedgerow Data'!$B$2:$AG$15,2,FALSE))</f>
        <v>Low</v>
      </c>
      <c r="G186" s="363">
        <f>IF(D186="","",VLOOKUP(D186,'G-6 Hedgerow Data'!$B$2:$AG$15,3,FALSE))</f>
        <v>2</v>
      </c>
      <c r="H186" s="114" t="s">
        <v>68</v>
      </c>
      <c r="I186" s="363">
        <f>IFERROR(VLOOKUP(H186,'G-1 All Habitats'!$Z$2:$AA$9,2,FALSE),"")</f>
        <v>3</v>
      </c>
      <c r="J186" s="114" t="s">
        <v>1037</v>
      </c>
      <c r="K186" s="370" t="str">
        <f>IF(J186="","",IF(VLOOKUP(J186,'G-3 Multipliers'!$L$3:$N$6,2,FALSE)=0,"Spatial Data Missing",VLOOKUP(J186,'G-3 Multipliers'!$L$3:$N$6,2,FALSE)))</f>
        <v>Low Strategic Significance</v>
      </c>
      <c r="L186" s="368">
        <f>IF(J186="","",IF(VLOOKUP(J186,'G-3 Multipliers'!$L$3:$N$6,3,FALSE)=0,"Spatial Data Missing ⚠",VLOOKUP(J186,'G-3 Multipliers'!$L$3:$N$6,3,FALSE)))</f>
        <v>1</v>
      </c>
      <c r="M186" s="369" t="str">
        <f>IF(D186="","",VLOOKUP(D186,'G-6 Hedgerow Data'!$B$1:$AH$15,33,FALSE))</f>
        <v>Same distinctiveness band or better</v>
      </c>
      <c r="N186" s="376">
        <f t="shared" si="16"/>
        <v>2.2044000000000001</v>
      </c>
      <c r="O186" s="32"/>
      <c r="P186" s="122">
        <v>0.3674</v>
      </c>
      <c r="Q186" s="165">
        <v>0</v>
      </c>
      <c r="R186" s="393">
        <f t="shared" si="17"/>
        <v>2.2044000000000001</v>
      </c>
      <c r="S186" s="393">
        <f t="shared" si="18"/>
        <v>0</v>
      </c>
      <c r="T186" s="393">
        <f t="shared" si="19"/>
        <v>0</v>
      </c>
      <c r="U186" s="415">
        <f t="shared" si="20"/>
        <v>0</v>
      </c>
      <c r="V186" s="119"/>
      <c r="W186" s="120"/>
      <c r="X186" s="120"/>
      <c r="AE186" s="124" t="b">
        <f t="shared" si="14"/>
        <v>1</v>
      </c>
      <c r="AF186" s="124" t="b">
        <f t="shared" si="15"/>
        <v>0</v>
      </c>
      <c r="AH186" s="124">
        <v>177</v>
      </c>
      <c r="AJ186" s="124">
        <f t="array" ref="AJ186">IFERROR(INDEX($AH$10:$AH$258, MATCH(0, IF(TRUE=$AE$10:$AE$258, COUNTIF($AJ$9:$AJ185, $AH$10:$AH$258), ""), 0)),"")</f>
        <v>211</v>
      </c>
      <c r="AK186" s="124" t="str">
        <f t="array" ref="AK186">IFERROR(INDEX($AH$10:$AH$258, MATCH(0, IF(TRUE=$AF$10:$AF$258, COUNTIF($AK$9:$AK185, $AH$10:$AH$258), ""), 0)),"")</f>
        <v/>
      </c>
      <c r="AL186" s="30" t="str">
        <f>IFERROR(INDEX('G-6 Hedgerow Data'!$BJ$3:$BJ$15,MATCH(D186,'G-6 Hedgerow Data'!$B$3:$B$15,0)),"")</f>
        <v>Hedgecond1</v>
      </c>
    </row>
    <row r="187" spans="2:38" ht="42.75" x14ac:dyDescent="0.2">
      <c r="B187" s="110">
        <v>178</v>
      </c>
      <c r="C187" s="165" t="s">
        <v>1864</v>
      </c>
      <c r="D187" s="165" t="s">
        <v>176</v>
      </c>
      <c r="E187" s="121">
        <v>0.70269999999999999</v>
      </c>
      <c r="F187" s="411" t="str">
        <f>IF(D187="","",VLOOKUP(D187,'G-6 Hedgerow Data'!$B$2:$AG$15,2,FALSE))</f>
        <v>Low</v>
      </c>
      <c r="G187" s="363">
        <f>IF(D187="","",VLOOKUP(D187,'G-6 Hedgerow Data'!$B$2:$AG$15,3,FALSE))</f>
        <v>2</v>
      </c>
      <c r="H187" s="114" t="s">
        <v>68</v>
      </c>
      <c r="I187" s="363">
        <f>IFERROR(VLOOKUP(H187,'G-1 All Habitats'!$Z$2:$AA$9,2,FALSE),"")</f>
        <v>3</v>
      </c>
      <c r="J187" s="114" t="s">
        <v>1037</v>
      </c>
      <c r="K187" s="370" t="str">
        <f>IF(J187="","",IF(VLOOKUP(J187,'G-3 Multipliers'!$L$3:$N$6,2,FALSE)=0,"Spatial Data Missing",VLOOKUP(J187,'G-3 Multipliers'!$L$3:$N$6,2,FALSE)))</f>
        <v>Low Strategic Significance</v>
      </c>
      <c r="L187" s="368">
        <f>IF(J187="","",IF(VLOOKUP(J187,'G-3 Multipliers'!$L$3:$N$6,3,FALSE)=0,"Spatial Data Missing ⚠",VLOOKUP(J187,'G-3 Multipliers'!$L$3:$N$6,3,FALSE)))</f>
        <v>1</v>
      </c>
      <c r="M187" s="369" t="str">
        <f>IF(D187="","",VLOOKUP(D187,'G-6 Hedgerow Data'!$B$1:$AH$15,33,FALSE))</f>
        <v>Same distinctiveness band or better</v>
      </c>
      <c r="N187" s="376">
        <f t="shared" si="16"/>
        <v>4.2161999999999997</v>
      </c>
      <c r="O187" s="32"/>
      <c r="P187" s="122">
        <v>0.68620000000000003</v>
      </c>
      <c r="Q187" s="165">
        <v>0</v>
      </c>
      <c r="R187" s="393">
        <f t="shared" si="17"/>
        <v>4.1172000000000004</v>
      </c>
      <c r="S187" s="393">
        <f t="shared" si="18"/>
        <v>0</v>
      </c>
      <c r="T187" s="393">
        <f t="shared" si="19"/>
        <v>1.6499999999999959E-2</v>
      </c>
      <c r="U187" s="415">
        <f t="shared" si="20"/>
        <v>9.8999999999999311E-2</v>
      </c>
      <c r="V187" s="119" t="s">
        <v>1969</v>
      </c>
      <c r="W187" s="120"/>
      <c r="X187" s="120"/>
      <c r="AE187" s="124" t="b">
        <f t="shared" si="14"/>
        <v>1</v>
      </c>
      <c r="AF187" s="124" t="b">
        <f t="shared" si="15"/>
        <v>0</v>
      </c>
      <c r="AH187" s="124">
        <v>178</v>
      </c>
      <c r="AJ187" s="124">
        <f t="array" ref="AJ187">IFERROR(INDEX($AH$10:$AH$258, MATCH(0, IF(TRUE=$AE$10:$AE$258, COUNTIF($AJ$9:$AJ186, $AH$10:$AH$258), ""), 0)),"")</f>
        <v>212</v>
      </c>
      <c r="AK187" s="124" t="str">
        <f t="array" ref="AK187">IFERROR(INDEX($AH$10:$AH$258, MATCH(0, IF(TRUE=$AF$10:$AF$258, COUNTIF($AK$9:$AK186, $AH$10:$AH$258), ""), 0)),"")</f>
        <v/>
      </c>
      <c r="AL187" s="30" t="str">
        <f>IFERROR(INDEX('G-6 Hedgerow Data'!$BJ$3:$BJ$15,MATCH(D187,'G-6 Hedgerow Data'!$B$3:$B$15,0)),"")</f>
        <v>Hedgecond1</v>
      </c>
    </row>
    <row r="188" spans="2:38" ht="42.75" x14ac:dyDescent="0.2">
      <c r="B188" s="110">
        <v>179</v>
      </c>
      <c r="C188" s="165" t="s">
        <v>1865</v>
      </c>
      <c r="D188" s="165" t="s">
        <v>171</v>
      </c>
      <c r="E188" s="121">
        <v>1.1708000000000001</v>
      </c>
      <c r="F188" s="411" t="str">
        <f>IF(D188="","",VLOOKUP(D188,'G-6 Hedgerow Data'!$B$2:$AG$15,2,FALSE))</f>
        <v>Medium</v>
      </c>
      <c r="G188" s="363">
        <f>IF(D188="","",VLOOKUP(D188,'G-6 Hedgerow Data'!$B$2:$AG$15,3,FALSE))</f>
        <v>4</v>
      </c>
      <c r="H188" s="114" t="s">
        <v>68</v>
      </c>
      <c r="I188" s="363">
        <f>IFERROR(VLOOKUP(H188,'G-1 All Habitats'!$Z$2:$AA$9,2,FALSE),"")</f>
        <v>3</v>
      </c>
      <c r="J188" s="114" t="s">
        <v>1037</v>
      </c>
      <c r="K188" s="370" t="str">
        <f>IF(J188="","",IF(VLOOKUP(J188,'G-3 Multipliers'!$L$3:$N$6,2,FALSE)=0,"Spatial Data Missing",VLOOKUP(J188,'G-3 Multipliers'!$L$3:$N$6,2,FALSE)))</f>
        <v>Low Strategic Significance</v>
      </c>
      <c r="L188" s="368">
        <f>IF(J188="","",IF(VLOOKUP(J188,'G-3 Multipliers'!$L$3:$N$6,3,FALSE)=0,"Spatial Data Missing ⚠",VLOOKUP(J188,'G-3 Multipliers'!$L$3:$N$6,3,FALSE)))</f>
        <v>1</v>
      </c>
      <c r="M188" s="369" t="str">
        <f>IF(D188="","",VLOOKUP(D188,'G-6 Hedgerow Data'!$B$1:$AH$15,33,FALSE))</f>
        <v>Same distinctiveness band or better</v>
      </c>
      <c r="N188" s="376">
        <f t="shared" si="16"/>
        <v>14.049600000000002</v>
      </c>
      <c r="O188" s="32"/>
      <c r="P188" s="122">
        <v>1.1657999999999999</v>
      </c>
      <c r="Q188" s="165">
        <v>0</v>
      </c>
      <c r="R188" s="393">
        <f t="shared" si="17"/>
        <v>13.989599999999999</v>
      </c>
      <c r="S188" s="393">
        <f t="shared" si="18"/>
        <v>0</v>
      </c>
      <c r="T188" s="393">
        <f t="shared" si="19"/>
        <v>5.0000000000001155E-3</v>
      </c>
      <c r="U188" s="415">
        <f t="shared" si="20"/>
        <v>6.0000000000002274E-2</v>
      </c>
      <c r="V188" s="119" t="s">
        <v>1970</v>
      </c>
      <c r="W188" s="120"/>
      <c r="X188" s="120"/>
      <c r="AE188" s="124" t="b">
        <f t="shared" si="14"/>
        <v>1</v>
      </c>
      <c r="AF188" s="124" t="b">
        <f t="shared" si="15"/>
        <v>0</v>
      </c>
      <c r="AH188" s="124">
        <v>179</v>
      </c>
      <c r="AJ188" s="124">
        <f t="array" ref="AJ188">IFERROR(INDEX($AH$10:$AH$258, MATCH(0, IF(TRUE=$AE$10:$AE$258, COUNTIF($AJ$9:$AJ187, $AH$10:$AH$258), ""), 0)),"")</f>
        <v>214</v>
      </c>
      <c r="AK188" s="124" t="str">
        <f t="array" ref="AK188">IFERROR(INDEX($AH$10:$AH$258, MATCH(0, IF(TRUE=$AF$10:$AF$258, COUNTIF($AK$9:$AK187, $AH$10:$AH$258), ""), 0)),"")</f>
        <v/>
      </c>
      <c r="AL188" s="30" t="str">
        <f>IFERROR(INDEX('G-6 Hedgerow Data'!$BJ$3:$BJ$15,MATCH(D188,'G-6 Hedgerow Data'!$B$3:$B$15,0)),"")</f>
        <v>Hedgecond1</v>
      </c>
    </row>
    <row r="189" spans="2:38" ht="42.75" x14ac:dyDescent="0.2">
      <c r="B189" s="110">
        <v>180</v>
      </c>
      <c r="C189" s="165" t="s">
        <v>1866</v>
      </c>
      <c r="D189" s="165" t="s">
        <v>176</v>
      </c>
      <c r="E189" s="121">
        <v>0.2072</v>
      </c>
      <c r="F189" s="411" t="str">
        <f>IF(D189="","",VLOOKUP(D189,'G-6 Hedgerow Data'!$B$2:$AG$15,2,FALSE))</f>
        <v>Low</v>
      </c>
      <c r="G189" s="363">
        <f>IF(D189="","",VLOOKUP(D189,'G-6 Hedgerow Data'!$B$2:$AG$15,3,FALSE))</f>
        <v>2</v>
      </c>
      <c r="H189" s="114" t="s">
        <v>68</v>
      </c>
      <c r="I189" s="363">
        <f>IFERROR(VLOOKUP(H189,'G-1 All Habitats'!$Z$2:$AA$9,2,FALSE),"")</f>
        <v>3</v>
      </c>
      <c r="J189" s="114" t="s">
        <v>1029</v>
      </c>
      <c r="K189" s="370" t="str">
        <f>IF(J189="","",IF(VLOOKUP(J189,'G-3 Multipliers'!$L$3:$N$6,2,FALSE)=0,"Spatial Data Missing",VLOOKUP(J189,'G-3 Multipliers'!$L$3:$N$6,2,FALSE)))</f>
        <v xml:space="preserve">High strategic significance </v>
      </c>
      <c r="L189" s="368">
        <f>IF(J189="","",IF(VLOOKUP(J189,'G-3 Multipliers'!$L$3:$N$6,3,FALSE)=0,"Spatial Data Missing ⚠",VLOOKUP(J189,'G-3 Multipliers'!$L$3:$N$6,3,FALSE)))</f>
        <v>1.1499999999999999</v>
      </c>
      <c r="M189" s="369" t="str">
        <f>IF(D189="","",VLOOKUP(D189,'G-6 Hedgerow Data'!$B$1:$AH$15,33,FALSE))</f>
        <v>Same distinctiveness band or better</v>
      </c>
      <c r="N189" s="376">
        <f t="shared" si="16"/>
        <v>1.4296799999999998</v>
      </c>
      <c r="O189" s="32"/>
      <c r="P189" s="122">
        <v>0.2072</v>
      </c>
      <c r="Q189" s="165">
        <v>0</v>
      </c>
      <c r="R189" s="393">
        <f t="shared" si="17"/>
        <v>1.4296799999999998</v>
      </c>
      <c r="S189" s="393">
        <f t="shared" si="18"/>
        <v>0</v>
      </c>
      <c r="T189" s="393">
        <f t="shared" si="19"/>
        <v>0</v>
      </c>
      <c r="U189" s="415">
        <f t="shared" si="20"/>
        <v>0</v>
      </c>
      <c r="V189" s="119"/>
      <c r="W189" s="120"/>
      <c r="X189" s="120"/>
      <c r="AE189" s="124" t="b">
        <f t="shared" si="14"/>
        <v>1</v>
      </c>
      <c r="AF189" s="124" t="b">
        <f t="shared" si="15"/>
        <v>0</v>
      </c>
      <c r="AH189" s="124">
        <v>180</v>
      </c>
      <c r="AJ189" s="124">
        <f t="array" ref="AJ189">IFERROR(INDEX($AH$10:$AH$258, MATCH(0, IF(TRUE=$AE$10:$AE$258, COUNTIF($AJ$9:$AJ188, $AH$10:$AH$258), ""), 0)),"")</f>
        <v>215</v>
      </c>
      <c r="AK189" s="124" t="str">
        <f t="array" ref="AK189">IFERROR(INDEX($AH$10:$AH$258, MATCH(0, IF(TRUE=$AF$10:$AF$258, COUNTIF($AK$9:$AK188, $AH$10:$AH$258), ""), 0)),"")</f>
        <v/>
      </c>
      <c r="AL189" s="30" t="str">
        <f>IFERROR(INDEX('G-6 Hedgerow Data'!$BJ$3:$BJ$15,MATCH(D189,'G-6 Hedgerow Data'!$B$3:$B$15,0)),"")</f>
        <v>Hedgecond1</v>
      </c>
    </row>
    <row r="190" spans="2:38" ht="28.5" x14ac:dyDescent="0.2">
      <c r="B190" s="110">
        <v>181</v>
      </c>
      <c r="C190" s="165" t="s">
        <v>1867</v>
      </c>
      <c r="D190" s="165" t="s">
        <v>168</v>
      </c>
      <c r="E190" s="121">
        <v>7.6200000000000004E-2</v>
      </c>
      <c r="F190" s="411" t="str">
        <f>IF(D190="","",VLOOKUP(D190,'G-6 Hedgerow Data'!$B$2:$AG$15,2,FALSE))</f>
        <v>High</v>
      </c>
      <c r="G190" s="363">
        <f>IF(D190="","",VLOOKUP(D190,'G-6 Hedgerow Data'!$B$2:$AG$15,3,FALSE))</f>
        <v>6</v>
      </c>
      <c r="H190" s="114" t="s">
        <v>67</v>
      </c>
      <c r="I190" s="363">
        <f>IFERROR(VLOOKUP(H190,'G-1 All Habitats'!$Z$2:$AA$9,2,FALSE),"")</f>
        <v>2</v>
      </c>
      <c r="J190" s="114" t="s">
        <v>1037</v>
      </c>
      <c r="K190" s="370" t="str">
        <f>IF(J190="","",IF(VLOOKUP(J190,'G-3 Multipliers'!$L$3:$N$6,2,FALSE)=0,"Spatial Data Missing",VLOOKUP(J190,'G-3 Multipliers'!$L$3:$N$6,2,FALSE)))</f>
        <v>Low Strategic Significance</v>
      </c>
      <c r="L190" s="368">
        <f>IF(J190="","",IF(VLOOKUP(J190,'G-3 Multipliers'!$L$3:$N$6,3,FALSE)=0,"Spatial Data Missing ⚠",VLOOKUP(J190,'G-3 Multipliers'!$L$3:$N$6,3,FALSE)))</f>
        <v>1</v>
      </c>
      <c r="M190" s="369" t="str">
        <f>IF(D190="","",VLOOKUP(D190,'G-6 Hedgerow Data'!$B$1:$AH$15,33,FALSE))</f>
        <v>Like for like or better</v>
      </c>
      <c r="N190" s="376">
        <f t="shared" si="16"/>
        <v>0.9144000000000001</v>
      </c>
      <c r="O190" s="32"/>
      <c r="P190" s="122">
        <v>7.6200000000000004E-2</v>
      </c>
      <c r="Q190" s="165">
        <v>0</v>
      </c>
      <c r="R190" s="393">
        <f t="shared" si="17"/>
        <v>0.9144000000000001</v>
      </c>
      <c r="S190" s="393">
        <f t="shared" si="18"/>
        <v>0</v>
      </c>
      <c r="T190" s="393">
        <f t="shared" si="19"/>
        <v>0</v>
      </c>
      <c r="U190" s="415">
        <f t="shared" si="20"/>
        <v>0</v>
      </c>
      <c r="V190" s="119"/>
      <c r="W190" s="120"/>
      <c r="X190" s="120"/>
      <c r="AE190" s="124" t="b">
        <f t="shared" si="14"/>
        <v>1</v>
      </c>
      <c r="AF190" s="124" t="b">
        <f t="shared" si="15"/>
        <v>0</v>
      </c>
      <c r="AH190" s="124">
        <v>181</v>
      </c>
      <c r="AJ190" s="124">
        <f t="array" ref="AJ190">IFERROR(INDEX($AH$10:$AH$258, MATCH(0, IF(TRUE=$AE$10:$AE$258, COUNTIF($AJ$9:$AJ189, $AH$10:$AH$258), ""), 0)),"")</f>
        <v>216</v>
      </c>
      <c r="AK190" s="124" t="str">
        <f t="array" ref="AK190">IFERROR(INDEX($AH$10:$AH$258, MATCH(0, IF(TRUE=$AF$10:$AF$258, COUNTIF($AK$9:$AK189, $AH$10:$AH$258), ""), 0)),"")</f>
        <v/>
      </c>
      <c r="AL190" s="30" t="str">
        <f>IFERROR(INDEX('G-6 Hedgerow Data'!$BJ$3:$BJ$15,MATCH(D190,'G-6 Hedgerow Data'!$B$3:$B$15,0)),"")</f>
        <v>Hedgecond1</v>
      </c>
    </row>
    <row r="191" spans="2:38" ht="42.75" x14ac:dyDescent="0.2">
      <c r="B191" s="110">
        <v>182</v>
      </c>
      <c r="C191" s="165" t="s">
        <v>1868</v>
      </c>
      <c r="D191" s="165" t="s">
        <v>173</v>
      </c>
      <c r="E191" s="121">
        <v>0.16539999999999999</v>
      </c>
      <c r="F191" s="411" t="str">
        <f>IF(D191="","",VLOOKUP(D191,'G-6 Hedgerow Data'!$B$2:$AG$15,2,FALSE))</f>
        <v>Medium</v>
      </c>
      <c r="G191" s="363">
        <f>IF(D191="","",VLOOKUP(D191,'G-6 Hedgerow Data'!$B$2:$AG$15,3,FALSE))</f>
        <v>4</v>
      </c>
      <c r="H191" s="114" t="s">
        <v>329</v>
      </c>
      <c r="I191" s="363">
        <f>IFERROR(VLOOKUP(H191,'G-1 All Habitats'!$Z$2:$AA$9,2,FALSE),"")</f>
        <v>1</v>
      </c>
      <c r="J191" s="114" t="s">
        <v>1037</v>
      </c>
      <c r="K191" s="370" t="str">
        <f>IF(J191="","",IF(VLOOKUP(J191,'G-3 Multipliers'!$L$3:$N$6,2,FALSE)=0,"Spatial Data Missing",VLOOKUP(J191,'G-3 Multipliers'!$L$3:$N$6,2,FALSE)))</f>
        <v>Low Strategic Significance</v>
      </c>
      <c r="L191" s="368">
        <f>IF(J191="","",IF(VLOOKUP(J191,'G-3 Multipliers'!$L$3:$N$6,3,FALSE)=0,"Spatial Data Missing ⚠",VLOOKUP(J191,'G-3 Multipliers'!$L$3:$N$6,3,FALSE)))</f>
        <v>1</v>
      </c>
      <c r="M191" s="369" t="str">
        <f>IF(D191="","",VLOOKUP(D191,'G-6 Hedgerow Data'!$B$1:$AH$15,33,FALSE))</f>
        <v>Same distinctiveness band or better</v>
      </c>
      <c r="N191" s="376">
        <f t="shared" si="16"/>
        <v>0.66159999999999997</v>
      </c>
      <c r="O191" s="32"/>
      <c r="P191" s="122">
        <v>0.16539999999999999</v>
      </c>
      <c r="Q191" s="165">
        <v>0</v>
      </c>
      <c r="R191" s="393">
        <f t="shared" si="17"/>
        <v>0.66159999999999997</v>
      </c>
      <c r="S191" s="393">
        <f t="shared" si="18"/>
        <v>0</v>
      </c>
      <c r="T191" s="393">
        <f t="shared" si="19"/>
        <v>0</v>
      </c>
      <c r="U191" s="415">
        <f t="shared" si="20"/>
        <v>0</v>
      </c>
      <c r="V191" s="119"/>
      <c r="W191" s="120"/>
      <c r="X191" s="120"/>
      <c r="AE191" s="124" t="b">
        <f t="shared" si="14"/>
        <v>1</v>
      </c>
      <c r="AF191" s="124" t="b">
        <f t="shared" si="15"/>
        <v>0</v>
      </c>
      <c r="AH191" s="124">
        <v>182</v>
      </c>
      <c r="AJ191" s="124">
        <f t="array" ref="AJ191">IFERROR(INDEX($AH$10:$AH$258, MATCH(0, IF(TRUE=$AE$10:$AE$258, COUNTIF($AJ$9:$AJ190, $AH$10:$AH$258), ""), 0)),"")</f>
        <v>219</v>
      </c>
      <c r="AK191" s="124" t="str">
        <f t="array" ref="AK191">IFERROR(INDEX($AH$10:$AH$258, MATCH(0, IF(TRUE=$AF$10:$AF$258, COUNTIF($AK$9:$AK190, $AH$10:$AH$258), ""), 0)),"")</f>
        <v/>
      </c>
      <c r="AL191" s="30" t="str">
        <f>IFERROR(INDEX('G-6 Hedgerow Data'!$BJ$3:$BJ$15,MATCH(D191,'G-6 Hedgerow Data'!$B$3:$B$15,0)),"")</f>
        <v>Hedgecond1</v>
      </c>
    </row>
    <row r="192" spans="2:38" ht="42.75" x14ac:dyDescent="0.2">
      <c r="B192" s="110">
        <v>183</v>
      </c>
      <c r="C192" s="165" t="s">
        <v>1869</v>
      </c>
      <c r="D192" s="165" t="s">
        <v>176</v>
      </c>
      <c r="E192" s="121">
        <v>0.22509999999999999</v>
      </c>
      <c r="F192" s="411" t="str">
        <f>IF(D192="","",VLOOKUP(D192,'G-6 Hedgerow Data'!$B$2:$AG$15,2,FALSE))</f>
        <v>Low</v>
      </c>
      <c r="G192" s="363">
        <f>IF(D192="","",VLOOKUP(D192,'G-6 Hedgerow Data'!$B$2:$AG$15,3,FALSE))</f>
        <v>2</v>
      </c>
      <c r="H192" s="114" t="s">
        <v>329</v>
      </c>
      <c r="I192" s="363">
        <f>IFERROR(VLOOKUP(H192,'G-1 All Habitats'!$Z$2:$AA$9,2,FALSE),"")</f>
        <v>1</v>
      </c>
      <c r="J192" s="114" t="s">
        <v>1037</v>
      </c>
      <c r="K192" s="370" t="str">
        <f>IF(J192="","",IF(VLOOKUP(J192,'G-3 Multipliers'!$L$3:$N$6,2,FALSE)=0,"Spatial Data Missing",VLOOKUP(J192,'G-3 Multipliers'!$L$3:$N$6,2,FALSE)))</f>
        <v>Low Strategic Significance</v>
      </c>
      <c r="L192" s="368">
        <f>IF(J192="","",IF(VLOOKUP(J192,'G-3 Multipliers'!$L$3:$N$6,3,FALSE)=0,"Spatial Data Missing ⚠",VLOOKUP(J192,'G-3 Multipliers'!$L$3:$N$6,3,FALSE)))</f>
        <v>1</v>
      </c>
      <c r="M192" s="369" t="str">
        <f>IF(D192="","",VLOOKUP(D192,'G-6 Hedgerow Data'!$B$1:$AH$15,33,FALSE))</f>
        <v>Same distinctiveness band or better</v>
      </c>
      <c r="N192" s="376">
        <f t="shared" si="16"/>
        <v>0.45019999999999999</v>
      </c>
      <c r="O192" s="32"/>
      <c r="P192" s="122">
        <v>0</v>
      </c>
      <c r="Q192" s="165">
        <v>0.22509999999999999</v>
      </c>
      <c r="R192" s="393">
        <f t="shared" si="17"/>
        <v>0</v>
      </c>
      <c r="S192" s="393">
        <f t="shared" si="18"/>
        <v>0.45019999999999999</v>
      </c>
      <c r="T192" s="393">
        <f t="shared" si="19"/>
        <v>0</v>
      </c>
      <c r="U192" s="415">
        <f t="shared" si="20"/>
        <v>0</v>
      </c>
      <c r="V192" s="119"/>
      <c r="W192" s="120"/>
      <c r="X192" s="120"/>
      <c r="AE192" s="124" t="b">
        <f t="shared" si="14"/>
        <v>0</v>
      </c>
      <c r="AF192" s="124" t="b">
        <f t="shared" si="15"/>
        <v>1</v>
      </c>
      <c r="AH192" s="124">
        <v>183</v>
      </c>
      <c r="AJ192" s="124">
        <f t="array" ref="AJ192">IFERROR(INDEX($AH$10:$AH$258, MATCH(0, IF(TRUE=$AE$10:$AE$258, COUNTIF($AJ$9:$AJ191, $AH$10:$AH$258), ""), 0)),"")</f>
        <v>220</v>
      </c>
      <c r="AK192" s="124" t="str">
        <f t="array" ref="AK192">IFERROR(INDEX($AH$10:$AH$258, MATCH(0, IF(TRUE=$AF$10:$AF$258, COUNTIF($AK$9:$AK191, $AH$10:$AH$258), ""), 0)),"")</f>
        <v/>
      </c>
      <c r="AL192" s="30" t="str">
        <f>IFERROR(INDEX('G-6 Hedgerow Data'!$BJ$3:$BJ$15,MATCH(D192,'G-6 Hedgerow Data'!$B$3:$B$15,0)),"")</f>
        <v>Hedgecond1</v>
      </c>
    </row>
    <row r="193" spans="2:38" ht="42.75" x14ac:dyDescent="0.2">
      <c r="B193" s="110">
        <v>184</v>
      </c>
      <c r="C193" s="165" t="s">
        <v>1870</v>
      </c>
      <c r="D193" s="165" t="s">
        <v>176</v>
      </c>
      <c r="E193" s="121">
        <v>4.07E-2</v>
      </c>
      <c r="F193" s="411" t="str">
        <f>IF(D193="","",VLOOKUP(D193,'G-6 Hedgerow Data'!$B$2:$AG$15,2,FALSE))</f>
        <v>Low</v>
      </c>
      <c r="G193" s="363">
        <f>IF(D193="","",VLOOKUP(D193,'G-6 Hedgerow Data'!$B$2:$AG$15,3,FALSE))</f>
        <v>2</v>
      </c>
      <c r="H193" s="114" t="s">
        <v>329</v>
      </c>
      <c r="I193" s="363">
        <f>IFERROR(VLOOKUP(H193,'G-1 All Habitats'!$Z$2:$AA$9,2,FALSE),"")</f>
        <v>1</v>
      </c>
      <c r="J193" s="114" t="s">
        <v>1037</v>
      </c>
      <c r="K193" s="370" t="str">
        <f>IF(J193="","",IF(VLOOKUP(J193,'G-3 Multipliers'!$L$3:$N$6,2,FALSE)=0,"Spatial Data Missing",VLOOKUP(J193,'G-3 Multipliers'!$L$3:$N$6,2,FALSE)))</f>
        <v>Low Strategic Significance</v>
      </c>
      <c r="L193" s="368">
        <f>IF(J193="","",IF(VLOOKUP(J193,'G-3 Multipliers'!$L$3:$N$6,3,FALSE)=0,"Spatial Data Missing ⚠",VLOOKUP(J193,'G-3 Multipliers'!$L$3:$N$6,3,FALSE)))</f>
        <v>1</v>
      </c>
      <c r="M193" s="369" t="str">
        <f>IF(D193="","",VLOOKUP(D193,'G-6 Hedgerow Data'!$B$1:$AH$15,33,FALSE))</f>
        <v>Same distinctiveness band or better</v>
      </c>
      <c r="N193" s="376">
        <f t="shared" si="16"/>
        <v>8.14E-2</v>
      </c>
      <c r="O193" s="32"/>
      <c r="P193" s="122">
        <v>0</v>
      </c>
      <c r="Q193" s="165">
        <v>4.07E-2</v>
      </c>
      <c r="R193" s="393">
        <f t="shared" si="17"/>
        <v>0</v>
      </c>
      <c r="S193" s="393">
        <f t="shared" si="18"/>
        <v>8.14E-2</v>
      </c>
      <c r="T193" s="393">
        <f t="shared" si="19"/>
        <v>0</v>
      </c>
      <c r="U193" s="415">
        <f t="shared" si="20"/>
        <v>0</v>
      </c>
      <c r="V193" s="119"/>
      <c r="W193" s="120"/>
      <c r="X193" s="120"/>
      <c r="AE193" s="124" t="b">
        <f t="shared" si="14"/>
        <v>0</v>
      </c>
      <c r="AF193" s="124" t="b">
        <f t="shared" si="15"/>
        <v>1</v>
      </c>
      <c r="AH193" s="124">
        <v>184</v>
      </c>
      <c r="AJ193" s="124">
        <f t="array" ref="AJ193">IFERROR(INDEX($AH$10:$AH$258, MATCH(0, IF(TRUE=$AE$10:$AE$258, COUNTIF($AJ$9:$AJ192, $AH$10:$AH$258), ""), 0)),"")</f>
        <v>221</v>
      </c>
      <c r="AK193" s="124" t="str">
        <f t="array" ref="AK193">IFERROR(INDEX($AH$10:$AH$258, MATCH(0, IF(TRUE=$AF$10:$AF$258, COUNTIF($AK$9:$AK192, $AH$10:$AH$258), ""), 0)),"")</f>
        <v/>
      </c>
      <c r="AL193" s="30" t="str">
        <f>IFERROR(INDEX('G-6 Hedgerow Data'!$BJ$3:$BJ$15,MATCH(D193,'G-6 Hedgerow Data'!$B$3:$B$15,0)),"")</f>
        <v>Hedgecond1</v>
      </c>
    </row>
    <row r="194" spans="2:38" ht="42.75" x14ac:dyDescent="0.2">
      <c r="B194" s="110">
        <v>185</v>
      </c>
      <c r="C194" s="165" t="s">
        <v>1871</v>
      </c>
      <c r="D194" s="165" t="s">
        <v>176</v>
      </c>
      <c r="E194" s="121">
        <v>6.6000000000000003E-2</v>
      </c>
      <c r="F194" s="411" t="str">
        <f>IF(D194="","",VLOOKUP(D194,'G-6 Hedgerow Data'!$B$2:$AG$15,2,FALSE))</f>
        <v>Low</v>
      </c>
      <c r="G194" s="363">
        <f>IF(D194="","",VLOOKUP(D194,'G-6 Hedgerow Data'!$B$2:$AG$15,3,FALSE))</f>
        <v>2</v>
      </c>
      <c r="H194" s="114" t="s">
        <v>67</v>
      </c>
      <c r="I194" s="363">
        <f>IFERROR(VLOOKUP(H194,'G-1 All Habitats'!$Z$2:$AA$9,2,FALSE),"")</f>
        <v>2</v>
      </c>
      <c r="J194" s="114" t="s">
        <v>1037</v>
      </c>
      <c r="K194" s="370" t="str">
        <f>IF(J194="","",IF(VLOOKUP(J194,'G-3 Multipliers'!$L$3:$N$6,2,FALSE)=0,"Spatial Data Missing",VLOOKUP(J194,'G-3 Multipliers'!$L$3:$N$6,2,FALSE)))</f>
        <v>Low Strategic Significance</v>
      </c>
      <c r="L194" s="368">
        <f>IF(J194="","",IF(VLOOKUP(J194,'G-3 Multipliers'!$L$3:$N$6,3,FALSE)=0,"Spatial Data Missing ⚠",VLOOKUP(J194,'G-3 Multipliers'!$L$3:$N$6,3,FALSE)))</f>
        <v>1</v>
      </c>
      <c r="M194" s="369" t="str">
        <f>IF(D194="","",VLOOKUP(D194,'G-6 Hedgerow Data'!$B$1:$AH$15,33,FALSE))</f>
        <v>Same distinctiveness band or better</v>
      </c>
      <c r="N194" s="376">
        <f t="shared" si="16"/>
        <v>0.26400000000000001</v>
      </c>
      <c r="O194" s="32"/>
      <c r="P194" s="122">
        <v>6.6000000000000003E-2</v>
      </c>
      <c r="Q194" s="165">
        <v>0</v>
      </c>
      <c r="R194" s="393">
        <f t="shared" si="17"/>
        <v>0.26400000000000001</v>
      </c>
      <c r="S194" s="393">
        <f t="shared" si="18"/>
        <v>0</v>
      </c>
      <c r="T194" s="393">
        <f t="shared" si="19"/>
        <v>0</v>
      </c>
      <c r="U194" s="415">
        <f t="shared" si="20"/>
        <v>0</v>
      </c>
      <c r="V194" s="119"/>
      <c r="W194" s="120"/>
      <c r="X194" s="120"/>
      <c r="AE194" s="124" t="b">
        <f t="shared" si="14"/>
        <v>1</v>
      </c>
      <c r="AF194" s="124" t="b">
        <f t="shared" si="15"/>
        <v>0</v>
      </c>
      <c r="AH194" s="124">
        <v>185</v>
      </c>
      <c r="AJ194" s="124">
        <f t="array" ref="AJ194">IFERROR(INDEX($AH$10:$AH$258, MATCH(0, IF(TRUE=$AE$10:$AE$258, COUNTIF($AJ$9:$AJ193, $AH$10:$AH$258), ""), 0)),"")</f>
        <v>222</v>
      </c>
      <c r="AK194" s="124" t="str">
        <f t="array" ref="AK194">IFERROR(INDEX($AH$10:$AH$258, MATCH(0, IF(TRUE=$AF$10:$AF$258, COUNTIF($AK$9:$AK193, $AH$10:$AH$258), ""), 0)),"")</f>
        <v/>
      </c>
      <c r="AL194" s="30" t="str">
        <f>IFERROR(INDEX('G-6 Hedgerow Data'!$BJ$3:$BJ$15,MATCH(D194,'G-6 Hedgerow Data'!$B$3:$B$15,0)),"")</f>
        <v>Hedgecond1</v>
      </c>
    </row>
    <row r="195" spans="2:38" ht="42.75" x14ac:dyDescent="0.2">
      <c r="B195" s="110">
        <v>186</v>
      </c>
      <c r="C195" s="165" t="s">
        <v>1872</v>
      </c>
      <c r="D195" s="165" t="s">
        <v>171</v>
      </c>
      <c r="E195" s="121">
        <v>0.59099999999999997</v>
      </c>
      <c r="F195" s="411" t="str">
        <f>IF(D195="","",VLOOKUP(D195,'G-6 Hedgerow Data'!$B$2:$AG$15,2,FALSE))</f>
        <v>Medium</v>
      </c>
      <c r="G195" s="363">
        <f>IF(D195="","",VLOOKUP(D195,'G-6 Hedgerow Data'!$B$2:$AG$15,3,FALSE))</f>
        <v>4</v>
      </c>
      <c r="H195" s="114" t="s">
        <v>68</v>
      </c>
      <c r="I195" s="363">
        <f>IFERROR(VLOOKUP(H195,'G-1 All Habitats'!$Z$2:$AA$9,2,FALSE),"")</f>
        <v>3</v>
      </c>
      <c r="J195" s="114" t="s">
        <v>1037</v>
      </c>
      <c r="K195" s="370" t="str">
        <f>IF(J195="","",IF(VLOOKUP(J195,'G-3 Multipliers'!$L$3:$N$6,2,FALSE)=0,"Spatial Data Missing",VLOOKUP(J195,'G-3 Multipliers'!$L$3:$N$6,2,FALSE)))</f>
        <v>Low Strategic Significance</v>
      </c>
      <c r="L195" s="368">
        <f>IF(J195="","",IF(VLOOKUP(J195,'G-3 Multipliers'!$L$3:$N$6,3,FALSE)=0,"Spatial Data Missing ⚠",VLOOKUP(J195,'G-3 Multipliers'!$L$3:$N$6,3,FALSE)))</f>
        <v>1</v>
      </c>
      <c r="M195" s="369" t="str">
        <f>IF(D195="","",VLOOKUP(D195,'G-6 Hedgerow Data'!$B$1:$AH$15,33,FALSE))</f>
        <v>Same distinctiveness band or better</v>
      </c>
      <c r="N195" s="376">
        <f t="shared" si="16"/>
        <v>7.0919999999999996</v>
      </c>
      <c r="O195" s="32"/>
      <c r="P195" s="122">
        <v>0.59099999999999997</v>
      </c>
      <c r="Q195" s="165">
        <v>0</v>
      </c>
      <c r="R195" s="393">
        <f t="shared" si="17"/>
        <v>7.0919999999999996</v>
      </c>
      <c r="S195" s="393">
        <f t="shared" si="18"/>
        <v>0</v>
      </c>
      <c r="T195" s="393">
        <f t="shared" si="19"/>
        <v>0</v>
      </c>
      <c r="U195" s="415">
        <f t="shared" si="20"/>
        <v>0</v>
      </c>
      <c r="V195" s="119"/>
      <c r="W195" s="120"/>
      <c r="X195" s="120"/>
      <c r="AE195" s="124" t="b">
        <f t="shared" si="14"/>
        <v>1</v>
      </c>
      <c r="AF195" s="124" t="b">
        <f t="shared" si="15"/>
        <v>0</v>
      </c>
      <c r="AH195" s="124">
        <v>186</v>
      </c>
      <c r="AJ195" s="124">
        <f t="array" ref="AJ195">IFERROR(INDEX($AH$10:$AH$258, MATCH(0, IF(TRUE=$AE$10:$AE$258, COUNTIF($AJ$9:$AJ194, $AH$10:$AH$258), ""), 0)),"")</f>
        <v>224</v>
      </c>
      <c r="AK195" s="124" t="str">
        <f t="array" ref="AK195">IFERROR(INDEX($AH$10:$AH$258, MATCH(0, IF(TRUE=$AF$10:$AF$258, COUNTIF($AK$9:$AK194, $AH$10:$AH$258), ""), 0)),"")</f>
        <v/>
      </c>
      <c r="AL195" s="30" t="str">
        <f>IFERROR(INDEX('G-6 Hedgerow Data'!$BJ$3:$BJ$15,MATCH(D195,'G-6 Hedgerow Data'!$B$3:$B$15,0)),"")</f>
        <v>Hedgecond1</v>
      </c>
    </row>
    <row r="196" spans="2:38" ht="42.75" x14ac:dyDescent="0.2">
      <c r="B196" s="110">
        <v>187</v>
      </c>
      <c r="C196" s="165" t="s">
        <v>1873</v>
      </c>
      <c r="D196" s="165" t="s">
        <v>173</v>
      </c>
      <c r="E196" s="121">
        <v>0.32740000000000002</v>
      </c>
      <c r="F196" s="411" t="str">
        <f>IF(D196="","",VLOOKUP(D196,'G-6 Hedgerow Data'!$B$2:$AG$15,2,FALSE))</f>
        <v>Medium</v>
      </c>
      <c r="G196" s="363">
        <f>IF(D196="","",VLOOKUP(D196,'G-6 Hedgerow Data'!$B$2:$AG$15,3,FALSE))</f>
        <v>4</v>
      </c>
      <c r="H196" s="114" t="s">
        <v>67</v>
      </c>
      <c r="I196" s="363">
        <f>IFERROR(VLOOKUP(H196,'G-1 All Habitats'!$Z$2:$AA$9,2,FALSE),"")</f>
        <v>2</v>
      </c>
      <c r="J196" s="114" t="s">
        <v>1037</v>
      </c>
      <c r="K196" s="370" t="str">
        <f>IF(J196="","",IF(VLOOKUP(J196,'G-3 Multipliers'!$L$3:$N$6,2,FALSE)=0,"Spatial Data Missing",VLOOKUP(J196,'G-3 Multipliers'!$L$3:$N$6,2,FALSE)))</f>
        <v>Low Strategic Significance</v>
      </c>
      <c r="L196" s="368">
        <f>IF(J196="","",IF(VLOOKUP(J196,'G-3 Multipliers'!$L$3:$N$6,3,FALSE)=0,"Spatial Data Missing ⚠",VLOOKUP(J196,'G-3 Multipliers'!$L$3:$N$6,3,FALSE)))</f>
        <v>1</v>
      </c>
      <c r="M196" s="369" t="str">
        <f>IF(D196="","",VLOOKUP(D196,'G-6 Hedgerow Data'!$B$1:$AH$15,33,FALSE))</f>
        <v>Same distinctiveness band or better</v>
      </c>
      <c r="N196" s="376">
        <f t="shared" si="16"/>
        <v>2.6192000000000002</v>
      </c>
      <c r="O196" s="32"/>
      <c r="P196" s="122">
        <v>0.32740000000000002</v>
      </c>
      <c r="Q196" s="165">
        <v>0</v>
      </c>
      <c r="R196" s="393">
        <f t="shared" si="17"/>
        <v>2.6192000000000002</v>
      </c>
      <c r="S196" s="393">
        <f t="shared" si="18"/>
        <v>0</v>
      </c>
      <c r="T196" s="393">
        <f t="shared" si="19"/>
        <v>0</v>
      </c>
      <c r="U196" s="415">
        <f t="shared" si="20"/>
        <v>0</v>
      </c>
      <c r="V196" s="119"/>
      <c r="W196" s="120"/>
      <c r="X196" s="120"/>
      <c r="AE196" s="124" t="b">
        <f t="shared" si="14"/>
        <v>1</v>
      </c>
      <c r="AF196" s="124" t="b">
        <f t="shared" si="15"/>
        <v>0</v>
      </c>
      <c r="AH196" s="124">
        <v>187</v>
      </c>
      <c r="AJ196" s="124">
        <f t="array" ref="AJ196">IFERROR(INDEX($AH$10:$AH$258, MATCH(0, IF(TRUE=$AE$10:$AE$258, COUNTIF($AJ$9:$AJ195, $AH$10:$AH$258), ""), 0)),"")</f>
        <v>225</v>
      </c>
      <c r="AK196" s="124" t="str">
        <f t="array" ref="AK196">IFERROR(INDEX($AH$10:$AH$258, MATCH(0, IF(TRUE=$AF$10:$AF$258, COUNTIF($AK$9:$AK195, $AH$10:$AH$258), ""), 0)),"")</f>
        <v/>
      </c>
      <c r="AL196" s="30" t="str">
        <f>IFERROR(INDEX('G-6 Hedgerow Data'!$BJ$3:$BJ$15,MATCH(D196,'G-6 Hedgerow Data'!$B$3:$B$15,0)),"")</f>
        <v>Hedgecond1</v>
      </c>
    </row>
    <row r="197" spans="2:38" ht="42.75" x14ac:dyDescent="0.2">
      <c r="B197" s="110">
        <v>188</v>
      </c>
      <c r="C197" s="165" t="s">
        <v>1874</v>
      </c>
      <c r="D197" s="165" t="s">
        <v>173</v>
      </c>
      <c r="E197" s="121">
        <v>1.5699999999999999E-2</v>
      </c>
      <c r="F197" s="411" t="str">
        <f>IF(D197="","",VLOOKUP(D197,'G-6 Hedgerow Data'!$B$2:$AG$15,2,FALSE))</f>
        <v>Medium</v>
      </c>
      <c r="G197" s="363">
        <f>IF(D197="","",VLOOKUP(D197,'G-6 Hedgerow Data'!$B$2:$AG$15,3,FALSE))</f>
        <v>4</v>
      </c>
      <c r="H197" s="114" t="s">
        <v>67</v>
      </c>
      <c r="I197" s="363">
        <f>IFERROR(VLOOKUP(H197,'G-1 All Habitats'!$Z$2:$AA$9,2,FALSE),"")</f>
        <v>2</v>
      </c>
      <c r="J197" s="114" t="s">
        <v>1029</v>
      </c>
      <c r="K197" s="370" t="str">
        <f>IF(J197="","",IF(VLOOKUP(J197,'G-3 Multipliers'!$L$3:$N$6,2,FALSE)=0,"Spatial Data Missing",VLOOKUP(J197,'G-3 Multipliers'!$L$3:$N$6,2,FALSE)))</f>
        <v xml:space="preserve">High strategic significance </v>
      </c>
      <c r="L197" s="368">
        <f>IF(J197="","",IF(VLOOKUP(J197,'G-3 Multipliers'!$L$3:$N$6,3,FALSE)=0,"Spatial Data Missing ⚠",VLOOKUP(J197,'G-3 Multipliers'!$L$3:$N$6,3,FALSE)))</f>
        <v>1.1499999999999999</v>
      </c>
      <c r="M197" s="369" t="str">
        <f>IF(D197="","",VLOOKUP(D197,'G-6 Hedgerow Data'!$B$1:$AH$15,33,FALSE))</f>
        <v>Same distinctiveness band or better</v>
      </c>
      <c r="N197" s="376">
        <f t="shared" si="16"/>
        <v>0.14443999999999999</v>
      </c>
      <c r="O197" s="32"/>
      <c r="P197" s="122">
        <v>1.5699999999999999E-2</v>
      </c>
      <c r="Q197" s="165">
        <v>0</v>
      </c>
      <c r="R197" s="393">
        <f t="shared" si="17"/>
        <v>0.14443999999999999</v>
      </c>
      <c r="S197" s="393">
        <f t="shared" si="18"/>
        <v>0</v>
      </c>
      <c r="T197" s="393">
        <f t="shared" si="19"/>
        <v>0</v>
      </c>
      <c r="U197" s="415">
        <f t="shared" si="20"/>
        <v>0</v>
      </c>
      <c r="V197" s="119"/>
      <c r="W197" s="120"/>
      <c r="X197" s="120"/>
      <c r="AE197" s="124" t="b">
        <f t="shared" si="14"/>
        <v>1</v>
      </c>
      <c r="AF197" s="124" t="b">
        <f t="shared" si="15"/>
        <v>0</v>
      </c>
      <c r="AH197" s="124">
        <v>188</v>
      </c>
      <c r="AJ197" s="124">
        <f t="array" ref="AJ197">IFERROR(INDEX($AH$10:$AH$258, MATCH(0, IF(TRUE=$AE$10:$AE$258, COUNTIF($AJ$9:$AJ196, $AH$10:$AH$258), ""), 0)),"")</f>
        <v>226</v>
      </c>
      <c r="AK197" s="124" t="str">
        <f t="array" ref="AK197">IFERROR(INDEX($AH$10:$AH$258, MATCH(0, IF(TRUE=$AF$10:$AF$258, COUNTIF($AK$9:$AK196, $AH$10:$AH$258), ""), 0)),"")</f>
        <v/>
      </c>
      <c r="AL197" s="30" t="str">
        <f>IFERROR(INDEX('G-6 Hedgerow Data'!$BJ$3:$BJ$15,MATCH(D197,'G-6 Hedgerow Data'!$B$3:$B$15,0)),"")</f>
        <v>Hedgecond1</v>
      </c>
    </row>
    <row r="198" spans="2:38" ht="42.75" x14ac:dyDescent="0.2">
      <c r="B198" s="110">
        <v>189</v>
      </c>
      <c r="C198" s="165" t="s">
        <v>1875</v>
      </c>
      <c r="D198" s="165" t="s">
        <v>173</v>
      </c>
      <c r="E198" s="121">
        <v>0.1603</v>
      </c>
      <c r="F198" s="411" t="str">
        <f>IF(D198="","",VLOOKUP(D198,'G-6 Hedgerow Data'!$B$2:$AG$15,2,FALSE))</f>
        <v>Medium</v>
      </c>
      <c r="G198" s="363">
        <f>IF(D198="","",VLOOKUP(D198,'G-6 Hedgerow Data'!$B$2:$AG$15,3,FALSE))</f>
        <v>4</v>
      </c>
      <c r="H198" s="114" t="s">
        <v>329</v>
      </c>
      <c r="I198" s="363">
        <f>IFERROR(VLOOKUP(H198,'G-1 All Habitats'!$Z$2:$AA$9,2,FALSE),"")</f>
        <v>1</v>
      </c>
      <c r="J198" s="114" t="s">
        <v>1037</v>
      </c>
      <c r="K198" s="370" t="str">
        <f>IF(J198="","",IF(VLOOKUP(J198,'G-3 Multipliers'!$L$3:$N$6,2,FALSE)=0,"Spatial Data Missing",VLOOKUP(J198,'G-3 Multipliers'!$L$3:$N$6,2,FALSE)))</f>
        <v>Low Strategic Significance</v>
      </c>
      <c r="L198" s="368">
        <f>IF(J198="","",IF(VLOOKUP(J198,'G-3 Multipliers'!$L$3:$N$6,3,FALSE)=0,"Spatial Data Missing ⚠",VLOOKUP(J198,'G-3 Multipliers'!$L$3:$N$6,3,FALSE)))</f>
        <v>1</v>
      </c>
      <c r="M198" s="369" t="str">
        <f>IF(D198="","",VLOOKUP(D198,'G-6 Hedgerow Data'!$B$1:$AH$15,33,FALSE))</f>
        <v>Same distinctiveness band or better</v>
      </c>
      <c r="N198" s="376">
        <f t="shared" si="16"/>
        <v>0.64119999999999999</v>
      </c>
      <c r="O198" s="32"/>
      <c r="P198" s="122">
        <v>5.0200000000000002E-2</v>
      </c>
      <c r="Q198" s="165">
        <v>0.1101</v>
      </c>
      <c r="R198" s="393">
        <f t="shared" si="17"/>
        <v>0.20080000000000001</v>
      </c>
      <c r="S198" s="393">
        <f t="shared" si="18"/>
        <v>0.44040000000000001</v>
      </c>
      <c r="T198" s="393">
        <f t="shared" si="19"/>
        <v>0</v>
      </c>
      <c r="U198" s="415">
        <f t="shared" si="20"/>
        <v>0</v>
      </c>
      <c r="V198" s="119"/>
      <c r="W198" s="120"/>
      <c r="X198" s="120"/>
      <c r="AE198" s="124" t="b">
        <f t="shared" si="14"/>
        <v>1</v>
      </c>
      <c r="AF198" s="124" t="b">
        <f t="shared" si="15"/>
        <v>1</v>
      </c>
      <c r="AH198" s="124">
        <v>189</v>
      </c>
      <c r="AJ198" s="124">
        <f t="array" ref="AJ198">IFERROR(INDEX($AH$10:$AH$258, MATCH(0, IF(TRUE=$AE$10:$AE$258, COUNTIF($AJ$9:$AJ197, $AH$10:$AH$258), ""), 0)),"")</f>
        <v>227</v>
      </c>
      <c r="AK198" s="124" t="str">
        <f t="array" ref="AK198">IFERROR(INDEX($AH$10:$AH$258, MATCH(0, IF(TRUE=$AF$10:$AF$258, COUNTIF($AK$9:$AK197, $AH$10:$AH$258), ""), 0)),"")</f>
        <v/>
      </c>
      <c r="AL198" s="30" t="str">
        <f>IFERROR(INDEX('G-6 Hedgerow Data'!$BJ$3:$BJ$15,MATCH(D198,'G-6 Hedgerow Data'!$B$3:$B$15,0)),"")</f>
        <v>Hedgecond1</v>
      </c>
    </row>
    <row r="199" spans="2:38" ht="42.75" x14ac:dyDescent="0.2">
      <c r="B199" s="110">
        <v>190</v>
      </c>
      <c r="C199" s="165" t="s">
        <v>1876</v>
      </c>
      <c r="D199" s="165" t="s">
        <v>173</v>
      </c>
      <c r="E199" s="121">
        <v>0.4113</v>
      </c>
      <c r="F199" s="411" t="str">
        <f>IF(D199="","",VLOOKUP(D199,'G-6 Hedgerow Data'!$B$2:$AG$15,2,FALSE))</f>
        <v>Medium</v>
      </c>
      <c r="G199" s="363">
        <f>IF(D199="","",VLOOKUP(D199,'G-6 Hedgerow Data'!$B$2:$AG$15,3,FALSE))</f>
        <v>4</v>
      </c>
      <c r="H199" s="114" t="s">
        <v>329</v>
      </c>
      <c r="I199" s="363">
        <f>IFERROR(VLOOKUP(H199,'G-1 All Habitats'!$Z$2:$AA$9,2,FALSE),"")</f>
        <v>1</v>
      </c>
      <c r="J199" s="114" t="s">
        <v>1037</v>
      </c>
      <c r="K199" s="370" t="str">
        <f>IF(J199="","",IF(VLOOKUP(J199,'G-3 Multipliers'!$L$3:$N$6,2,FALSE)=0,"Spatial Data Missing",VLOOKUP(J199,'G-3 Multipliers'!$L$3:$N$6,2,FALSE)))</f>
        <v>Low Strategic Significance</v>
      </c>
      <c r="L199" s="368">
        <f>IF(J199="","",IF(VLOOKUP(J199,'G-3 Multipliers'!$L$3:$N$6,3,FALSE)=0,"Spatial Data Missing ⚠",VLOOKUP(J199,'G-3 Multipliers'!$L$3:$N$6,3,FALSE)))</f>
        <v>1</v>
      </c>
      <c r="M199" s="369" t="str">
        <f>IF(D199="","",VLOOKUP(D199,'G-6 Hedgerow Data'!$B$1:$AH$15,33,FALSE))</f>
        <v>Same distinctiveness band or better</v>
      </c>
      <c r="N199" s="376">
        <f t="shared" si="16"/>
        <v>1.6452</v>
      </c>
      <c r="O199" s="32"/>
      <c r="P199" s="122">
        <v>0.4113</v>
      </c>
      <c r="Q199" s="165">
        <v>0</v>
      </c>
      <c r="R199" s="393">
        <f t="shared" si="17"/>
        <v>1.6452</v>
      </c>
      <c r="S199" s="393">
        <f t="shared" si="18"/>
        <v>0</v>
      </c>
      <c r="T199" s="393">
        <f t="shared" si="19"/>
        <v>0</v>
      </c>
      <c r="U199" s="415">
        <f t="shared" si="20"/>
        <v>0</v>
      </c>
      <c r="V199" s="119"/>
      <c r="W199" s="120"/>
      <c r="X199" s="120"/>
      <c r="AE199" s="124" t="b">
        <f t="shared" si="14"/>
        <v>1</v>
      </c>
      <c r="AF199" s="124" t="b">
        <f t="shared" si="15"/>
        <v>0</v>
      </c>
      <c r="AH199" s="124">
        <v>190</v>
      </c>
      <c r="AJ199" s="124">
        <f t="array" ref="AJ199">IFERROR(INDEX($AH$10:$AH$258, MATCH(0, IF(TRUE=$AE$10:$AE$258, COUNTIF($AJ$9:$AJ198, $AH$10:$AH$258), ""), 0)),"")</f>
        <v>228</v>
      </c>
      <c r="AK199" s="124" t="str">
        <f t="array" ref="AK199">IFERROR(INDEX($AH$10:$AH$258, MATCH(0, IF(TRUE=$AF$10:$AF$258, COUNTIF($AK$9:$AK198, $AH$10:$AH$258), ""), 0)),"")</f>
        <v/>
      </c>
      <c r="AL199" s="30" t="str">
        <f>IFERROR(INDEX('G-6 Hedgerow Data'!$BJ$3:$BJ$15,MATCH(D199,'G-6 Hedgerow Data'!$B$3:$B$15,0)),"")</f>
        <v>Hedgecond1</v>
      </c>
    </row>
    <row r="200" spans="2:38" ht="42.75" x14ac:dyDescent="0.2">
      <c r="B200" s="110">
        <v>191</v>
      </c>
      <c r="C200" s="165" t="s">
        <v>1877</v>
      </c>
      <c r="D200" s="165" t="s">
        <v>173</v>
      </c>
      <c r="E200" s="121">
        <v>0.1061</v>
      </c>
      <c r="F200" s="411" t="str">
        <f>IF(D200="","",VLOOKUP(D200,'G-6 Hedgerow Data'!$B$2:$AG$15,2,FALSE))</f>
        <v>Medium</v>
      </c>
      <c r="G200" s="363">
        <f>IF(D200="","",VLOOKUP(D200,'G-6 Hedgerow Data'!$B$2:$AG$15,3,FALSE))</f>
        <v>4</v>
      </c>
      <c r="H200" s="114" t="s">
        <v>67</v>
      </c>
      <c r="I200" s="363">
        <f>IFERROR(VLOOKUP(H200,'G-1 All Habitats'!$Z$2:$AA$9,2,FALSE),"")</f>
        <v>2</v>
      </c>
      <c r="J200" s="114" t="s">
        <v>1037</v>
      </c>
      <c r="K200" s="370" t="str">
        <f>IF(J200="","",IF(VLOOKUP(J200,'G-3 Multipliers'!$L$3:$N$6,2,FALSE)=0,"Spatial Data Missing",VLOOKUP(J200,'G-3 Multipliers'!$L$3:$N$6,2,FALSE)))</f>
        <v>Low Strategic Significance</v>
      </c>
      <c r="L200" s="368">
        <f>IF(J200="","",IF(VLOOKUP(J200,'G-3 Multipliers'!$L$3:$N$6,3,FALSE)=0,"Spatial Data Missing ⚠",VLOOKUP(J200,'G-3 Multipliers'!$L$3:$N$6,3,FALSE)))</f>
        <v>1</v>
      </c>
      <c r="M200" s="369" t="str">
        <f>IF(D200="","",VLOOKUP(D200,'G-6 Hedgerow Data'!$B$1:$AH$15,33,FALSE))</f>
        <v>Same distinctiveness band or better</v>
      </c>
      <c r="N200" s="376">
        <f t="shared" si="16"/>
        <v>0.8488</v>
      </c>
      <c r="O200" s="32"/>
      <c r="P200" s="122">
        <v>0.1061</v>
      </c>
      <c r="Q200" s="165">
        <v>0</v>
      </c>
      <c r="R200" s="393">
        <f t="shared" si="17"/>
        <v>0.8488</v>
      </c>
      <c r="S200" s="393">
        <f t="shared" si="18"/>
        <v>0</v>
      </c>
      <c r="T200" s="393">
        <f t="shared" si="19"/>
        <v>0</v>
      </c>
      <c r="U200" s="415">
        <f t="shared" si="20"/>
        <v>0</v>
      </c>
      <c r="V200" s="119"/>
      <c r="W200" s="120"/>
      <c r="X200" s="120"/>
      <c r="AE200" s="124" t="b">
        <f t="shared" si="14"/>
        <v>1</v>
      </c>
      <c r="AF200" s="124" t="b">
        <f t="shared" si="15"/>
        <v>0</v>
      </c>
      <c r="AH200" s="124">
        <v>191</v>
      </c>
      <c r="AJ200" s="124">
        <f t="array" ref="AJ200">IFERROR(INDEX($AH$10:$AH$258, MATCH(0, IF(TRUE=$AE$10:$AE$258, COUNTIF($AJ$9:$AJ199, $AH$10:$AH$258), ""), 0)),"")</f>
        <v>229</v>
      </c>
      <c r="AK200" s="124" t="str">
        <f t="array" ref="AK200">IFERROR(INDEX($AH$10:$AH$258, MATCH(0, IF(TRUE=$AF$10:$AF$258, COUNTIF($AK$9:$AK199, $AH$10:$AH$258), ""), 0)),"")</f>
        <v/>
      </c>
      <c r="AL200" s="30" t="str">
        <f>IFERROR(INDEX('G-6 Hedgerow Data'!$BJ$3:$BJ$15,MATCH(D200,'G-6 Hedgerow Data'!$B$3:$B$15,0)),"")</f>
        <v>Hedgecond1</v>
      </c>
    </row>
    <row r="201" spans="2:38" ht="42.75" x14ac:dyDescent="0.2">
      <c r="B201" s="110">
        <v>192</v>
      </c>
      <c r="C201" s="165" t="s">
        <v>1878</v>
      </c>
      <c r="D201" s="165" t="s">
        <v>171</v>
      </c>
      <c r="E201" s="121">
        <v>0.35210000000000002</v>
      </c>
      <c r="F201" s="411" t="str">
        <f>IF(D201="","",VLOOKUP(D201,'G-6 Hedgerow Data'!$B$2:$AG$15,2,FALSE))</f>
        <v>Medium</v>
      </c>
      <c r="G201" s="363">
        <f>IF(D201="","",VLOOKUP(D201,'G-6 Hedgerow Data'!$B$2:$AG$15,3,FALSE))</f>
        <v>4</v>
      </c>
      <c r="H201" s="114" t="s">
        <v>68</v>
      </c>
      <c r="I201" s="363">
        <f>IFERROR(VLOOKUP(H201,'G-1 All Habitats'!$Z$2:$AA$9,2,FALSE),"")</f>
        <v>3</v>
      </c>
      <c r="J201" s="114" t="s">
        <v>1037</v>
      </c>
      <c r="K201" s="370" t="str">
        <f>IF(J201="","",IF(VLOOKUP(J201,'G-3 Multipliers'!$L$3:$N$6,2,FALSE)=0,"Spatial Data Missing",VLOOKUP(J201,'G-3 Multipliers'!$L$3:$N$6,2,FALSE)))</f>
        <v>Low Strategic Significance</v>
      </c>
      <c r="L201" s="368">
        <f>IF(J201="","",IF(VLOOKUP(J201,'G-3 Multipliers'!$L$3:$N$6,3,FALSE)=0,"Spatial Data Missing ⚠",VLOOKUP(J201,'G-3 Multipliers'!$L$3:$N$6,3,FALSE)))</f>
        <v>1</v>
      </c>
      <c r="M201" s="369" t="str">
        <f>IF(D201="","",VLOOKUP(D201,'G-6 Hedgerow Data'!$B$1:$AH$15,33,FALSE))</f>
        <v>Same distinctiveness band or better</v>
      </c>
      <c r="N201" s="376">
        <f t="shared" si="16"/>
        <v>4.2252000000000001</v>
      </c>
      <c r="O201" s="32"/>
      <c r="P201" s="122">
        <v>0</v>
      </c>
      <c r="Q201" s="165">
        <v>0.3518</v>
      </c>
      <c r="R201" s="393">
        <f t="shared" si="17"/>
        <v>0</v>
      </c>
      <c r="S201" s="393">
        <f t="shared" si="18"/>
        <v>4.2216000000000005</v>
      </c>
      <c r="T201" s="393">
        <f t="shared" si="19"/>
        <v>3.0000000000002247E-4</v>
      </c>
      <c r="U201" s="415">
        <f t="shared" si="20"/>
        <v>3.5999999999996035E-3</v>
      </c>
      <c r="V201" s="119" t="s">
        <v>1971</v>
      </c>
      <c r="W201" s="120"/>
      <c r="X201" s="120"/>
      <c r="AE201" s="124" t="b">
        <f t="shared" si="14"/>
        <v>0</v>
      </c>
      <c r="AF201" s="124" t="b">
        <f t="shared" si="15"/>
        <v>1</v>
      </c>
      <c r="AH201" s="124">
        <v>192</v>
      </c>
      <c r="AJ201" s="124">
        <f t="array" ref="AJ201">IFERROR(INDEX($AH$10:$AH$258, MATCH(0, IF(TRUE=$AE$10:$AE$258, COUNTIF($AJ$9:$AJ200, $AH$10:$AH$258), ""), 0)),"")</f>
        <v>230</v>
      </c>
      <c r="AK201" s="124" t="str">
        <f t="array" ref="AK201">IFERROR(INDEX($AH$10:$AH$258, MATCH(0, IF(TRUE=$AF$10:$AF$258, COUNTIF($AK$9:$AK200, $AH$10:$AH$258), ""), 0)),"")</f>
        <v/>
      </c>
      <c r="AL201" s="30" t="str">
        <f>IFERROR(INDEX('G-6 Hedgerow Data'!$BJ$3:$BJ$15,MATCH(D201,'G-6 Hedgerow Data'!$B$3:$B$15,0)),"")</f>
        <v>Hedgecond1</v>
      </c>
    </row>
    <row r="202" spans="2:38" ht="42.75" x14ac:dyDescent="0.2">
      <c r="B202" s="110">
        <v>193</v>
      </c>
      <c r="C202" s="165" t="s">
        <v>1879</v>
      </c>
      <c r="D202" s="165" t="s">
        <v>176</v>
      </c>
      <c r="E202" s="121">
        <v>0.26679999999999998</v>
      </c>
      <c r="F202" s="411" t="str">
        <f>IF(D202="","",VLOOKUP(D202,'G-6 Hedgerow Data'!$B$2:$AG$15,2,FALSE))</f>
        <v>Low</v>
      </c>
      <c r="G202" s="363">
        <f>IF(D202="","",VLOOKUP(D202,'G-6 Hedgerow Data'!$B$2:$AG$15,3,FALSE))</f>
        <v>2</v>
      </c>
      <c r="H202" s="114" t="s">
        <v>329</v>
      </c>
      <c r="I202" s="363">
        <f>IFERROR(VLOOKUP(H202,'G-1 All Habitats'!$Z$2:$AA$9,2,FALSE),"")</f>
        <v>1</v>
      </c>
      <c r="J202" s="114" t="s">
        <v>1037</v>
      </c>
      <c r="K202" s="370" t="str">
        <f>IF(J202="","",IF(VLOOKUP(J202,'G-3 Multipliers'!$L$3:$N$6,2,FALSE)=0,"Spatial Data Missing",VLOOKUP(J202,'G-3 Multipliers'!$L$3:$N$6,2,FALSE)))</f>
        <v>Low Strategic Significance</v>
      </c>
      <c r="L202" s="368">
        <f>IF(J202="","",IF(VLOOKUP(J202,'G-3 Multipliers'!$L$3:$N$6,3,FALSE)=0,"Spatial Data Missing ⚠",VLOOKUP(J202,'G-3 Multipliers'!$L$3:$N$6,3,FALSE)))</f>
        <v>1</v>
      </c>
      <c r="M202" s="369" t="str">
        <f>IF(D202="","",VLOOKUP(D202,'G-6 Hedgerow Data'!$B$1:$AH$15,33,FALSE))</f>
        <v>Same distinctiveness band or better</v>
      </c>
      <c r="N202" s="376">
        <f t="shared" si="16"/>
        <v>0.53359999999999996</v>
      </c>
      <c r="O202" s="32"/>
      <c r="P202" s="122">
        <v>0.26679999999999998</v>
      </c>
      <c r="Q202" s="165">
        <v>0</v>
      </c>
      <c r="R202" s="393">
        <f t="shared" si="17"/>
        <v>0.53359999999999996</v>
      </c>
      <c r="S202" s="393">
        <f t="shared" si="18"/>
        <v>0</v>
      </c>
      <c r="T202" s="393">
        <f t="shared" si="19"/>
        <v>0</v>
      </c>
      <c r="U202" s="415">
        <f t="shared" si="20"/>
        <v>0</v>
      </c>
      <c r="V202" s="119"/>
      <c r="W202" s="120"/>
      <c r="X202" s="120"/>
      <c r="AE202" s="124" t="b">
        <f t="shared" ref="AE202:AE257" si="21">IF(D202="","",IF(P202&gt;0,TRUE,FALSE))</f>
        <v>1</v>
      </c>
      <c r="AF202" s="124" t="b">
        <f t="shared" ref="AF202:AF257" si="22">IF(D202="","",IF(Q202&gt;0,TRUE,FALSE))</f>
        <v>0</v>
      </c>
      <c r="AH202" s="124">
        <v>193</v>
      </c>
      <c r="AJ202" s="124">
        <f t="array" ref="AJ202">IFERROR(INDEX($AH$10:$AH$258, MATCH(0, IF(TRUE=$AE$10:$AE$258, COUNTIF($AJ$9:$AJ201, $AH$10:$AH$258), ""), 0)),"")</f>
        <v>231</v>
      </c>
      <c r="AK202" s="124" t="str">
        <f t="array" ref="AK202">IFERROR(INDEX($AH$10:$AH$258, MATCH(0, IF(TRUE=$AF$10:$AF$258, COUNTIF($AK$9:$AK201, $AH$10:$AH$258), ""), 0)),"")</f>
        <v/>
      </c>
      <c r="AL202" s="30" t="str">
        <f>IFERROR(INDEX('G-6 Hedgerow Data'!$BJ$3:$BJ$15,MATCH(D202,'G-6 Hedgerow Data'!$B$3:$B$15,0)),"")</f>
        <v>Hedgecond1</v>
      </c>
    </row>
    <row r="203" spans="2:38" ht="42.75" x14ac:dyDescent="0.2">
      <c r="B203" s="110">
        <v>194</v>
      </c>
      <c r="C203" s="165" t="s">
        <v>1880</v>
      </c>
      <c r="D203" s="165" t="s">
        <v>171</v>
      </c>
      <c r="E203" s="121">
        <v>0.56069999999999998</v>
      </c>
      <c r="F203" s="411" t="str">
        <f>IF(D203="","",VLOOKUP(D203,'G-6 Hedgerow Data'!$B$2:$AG$15,2,FALSE))</f>
        <v>Medium</v>
      </c>
      <c r="G203" s="363">
        <f>IF(D203="","",VLOOKUP(D203,'G-6 Hedgerow Data'!$B$2:$AG$15,3,FALSE))</f>
        <v>4</v>
      </c>
      <c r="H203" s="114" t="s">
        <v>68</v>
      </c>
      <c r="I203" s="363">
        <f>IFERROR(VLOOKUP(H203,'G-1 All Habitats'!$Z$2:$AA$9,2,FALSE),"")</f>
        <v>3</v>
      </c>
      <c r="J203" s="114" t="s">
        <v>1037</v>
      </c>
      <c r="K203" s="370" t="str">
        <f>IF(J203="","",IF(VLOOKUP(J203,'G-3 Multipliers'!$L$3:$N$6,2,FALSE)=0,"Spatial Data Missing",VLOOKUP(J203,'G-3 Multipliers'!$L$3:$N$6,2,FALSE)))</f>
        <v>Low Strategic Significance</v>
      </c>
      <c r="L203" s="368">
        <f>IF(J203="","",IF(VLOOKUP(J203,'G-3 Multipliers'!$L$3:$N$6,3,FALSE)=0,"Spatial Data Missing ⚠",VLOOKUP(J203,'G-3 Multipliers'!$L$3:$N$6,3,FALSE)))</f>
        <v>1</v>
      </c>
      <c r="M203" s="369" t="str">
        <f>IF(D203="","",VLOOKUP(D203,'G-6 Hedgerow Data'!$B$1:$AH$15,33,FALSE))</f>
        <v>Same distinctiveness band or better</v>
      </c>
      <c r="N203" s="376">
        <f t="shared" ref="N203:N257" si="23">IFERROR(E203*G203*I203*L203,"")</f>
        <v>6.7283999999999997</v>
      </c>
      <c r="O203" s="32"/>
      <c r="P203" s="122">
        <v>0</v>
      </c>
      <c r="Q203" s="165">
        <v>0.55569999999999997</v>
      </c>
      <c r="R203" s="393">
        <f t="shared" ref="R203:R257" si="24">IFERROR(P203*G203*I203*L203,"")</f>
        <v>0</v>
      </c>
      <c r="S203" s="393">
        <f t="shared" ref="S203:S257" si="25">IFERROR(Q203*G203*I203*L203,"")</f>
        <v>6.6684000000000001</v>
      </c>
      <c r="T203" s="393">
        <f t="shared" ref="T203:T257" si="26">IF(D203="","",IF(E203-P203-Q203=0&lt;0,"Error in lengths ▲",IF(P203+Q203&gt;E203,"Error in Lengths ▲",E203-P203-Q203)))</f>
        <v>5.0000000000000044E-3</v>
      </c>
      <c r="U203" s="415">
        <f t="shared" ref="U203:U257" si="27">IF(OR(E203="",N203=""),"",IF(E203-P203-Q203=0&lt;0,"Error in Lengths ▲",IF(P203+Q203&gt;E203,"Error in Lengths ▲",N203-R203-S203)))</f>
        <v>5.9999999999999609E-2</v>
      </c>
      <c r="V203" s="119" t="s">
        <v>1972</v>
      </c>
      <c r="W203" s="120"/>
      <c r="X203" s="120"/>
      <c r="AE203" s="124" t="b">
        <f t="shared" si="21"/>
        <v>0</v>
      </c>
      <c r="AF203" s="124" t="b">
        <f t="shared" si="22"/>
        <v>1</v>
      </c>
      <c r="AH203" s="124">
        <v>194</v>
      </c>
      <c r="AJ203" s="124">
        <f t="array" ref="AJ203">IFERROR(INDEX($AH$10:$AH$258, MATCH(0, IF(TRUE=$AE$10:$AE$258, COUNTIF($AJ$9:$AJ202, $AH$10:$AH$258), ""), 0)),"")</f>
        <v>232</v>
      </c>
      <c r="AK203" s="124" t="str">
        <f t="array" ref="AK203">IFERROR(INDEX($AH$10:$AH$258, MATCH(0, IF(TRUE=$AF$10:$AF$258, COUNTIF($AK$9:$AK202, $AH$10:$AH$258), ""), 0)),"")</f>
        <v/>
      </c>
      <c r="AL203" s="30" t="str">
        <f>IFERROR(INDEX('G-6 Hedgerow Data'!$BJ$3:$BJ$15,MATCH(D203,'G-6 Hedgerow Data'!$B$3:$B$15,0)),"")</f>
        <v>Hedgecond1</v>
      </c>
    </row>
    <row r="204" spans="2:38" ht="42.75" x14ac:dyDescent="0.2">
      <c r="B204" s="110">
        <v>195</v>
      </c>
      <c r="C204" s="165" t="s">
        <v>1881</v>
      </c>
      <c r="D204" s="165" t="s">
        <v>176</v>
      </c>
      <c r="E204" s="121">
        <v>0.1709</v>
      </c>
      <c r="F204" s="411" t="str">
        <f>IF(D204="","",VLOOKUP(D204,'G-6 Hedgerow Data'!$B$2:$AG$15,2,FALSE))</f>
        <v>Low</v>
      </c>
      <c r="G204" s="363">
        <f>IF(D204="","",VLOOKUP(D204,'G-6 Hedgerow Data'!$B$2:$AG$15,3,FALSE))</f>
        <v>2</v>
      </c>
      <c r="H204" s="114" t="s">
        <v>329</v>
      </c>
      <c r="I204" s="363">
        <f>IFERROR(VLOOKUP(H204,'G-1 All Habitats'!$Z$2:$AA$9,2,FALSE),"")</f>
        <v>1</v>
      </c>
      <c r="J204" s="114" t="s">
        <v>1037</v>
      </c>
      <c r="K204" s="370" t="str">
        <f>IF(J204="","",IF(VLOOKUP(J204,'G-3 Multipliers'!$L$3:$N$6,2,FALSE)=0,"Spatial Data Missing",VLOOKUP(J204,'G-3 Multipliers'!$L$3:$N$6,2,FALSE)))</f>
        <v>Low Strategic Significance</v>
      </c>
      <c r="L204" s="368">
        <f>IF(J204="","",IF(VLOOKUP(J204,'G-3 Multipliers'!$L$3:$N$6,3,FALSE)=0,"Spatial Data Missing ⚠",VLOOKUP(J204,'G-3 Multipliers'!$L$3:$N$6,3,FALSE)))</f>
        <v>1</v>
      </c>
      <c r="M204" s="369" t="str">
        <f>IF(D204="","",VLOOKUP(D204,'G-6 Hedgerow Data'!$B$1:$AH$15,33,FALSE))</f>
        <v>Same distinctiveness band or better</v>
      </c>
      <c r="N204" s="376">
        <f t="shared" si="23"/>
        <v>0.34179999999999999</v>
      </c>
      <c r="O204" s="32"/>
      <c r="P204" s="122">
        <v>0</v>
      </c>
      <c r="Q204" s="165">
        <v>0.1709</v>
      </c>
      <c r="R204" s="393">
        <f t="shared" si="24"/>
        <v>0</v>
      </c>
      <c r="S204" s="393">
        <f t="shared" si="25"/>
        <v>0.34179999999999999</v>
      </c>
      <c r="T204" s="393">
        <f t="shared" si="26"/>
        <v>0</v>
      </c>
      <c r="U204" s="415">
        <f t="shared" si="27"/>
        <v>0</v>
      </c>
      <c r="V204" s="119"/>
      <c r="W204" s="120"/>
      <c r="X204" s="120"/>
      <c r="AE204" s="124" t="b">
        <f t="shared" si="21"/>
        <v>0</v>
      </c>
      <c r="AF204" s="124" t="b">
        <f t="shared" si="22"/>
        <v>1</v>
      </c>
      <c r="AH204" s="124">
        <v>195</v>
      </c>
      <c r="AJ204" s="124">
        <f t="array" ref="AJ204">IFERROR(INDEX($AH$10:$AH$258, MATCH(0, IF(TRUE=$AE$10:$AE$258, COUNTIF($AJ$9:$AJ203, $AH$10:$AH$258), ""), 0)),"")</f>
        <v>233</v>
      </c>
      <c r="AK204" s="124" t="str">
        <f t="array" ref="AK204">IFERROR(INDEX($AH$10:$AH$258, MATCH(0, IF(TRUE=$AF$10:$AF$258, COUNTIF($AK$9:$AK203, $AH$10:$AH$258), ""), 0)),"")</f>
        <v/>
      </c>
      <c r="AL204" s="30" t="str">
        <f>IFERROR(INDEX('G-6 Hedgerow Data'!$BJ$3:$BJ$15,MATCH(D204,'G-6 Hedgerow Data'!$B$3:$B$15,0)),"")</f>
        <v>Hedgecond1</v>
      </c>
    </row>
    <row r="205" spans="2:38" ht="42.75" x14ac:dyDescent="0.2">
      <c r="B205" s="110">
        <v>196</v>
      </c>
      <c r="C205" s="165" t="s">
        <v>1882</v>
      </c>
      <c r="D205" s="165" t="s">
        <v>171</v>
      </c>
      <c r="E205" s="121">
        <v>0.21229999999999999</v>
      </c>
      <c r="F205" s="411" t="str">
        <f>IF(D205="","",VLOOKUP(D205,'G-6 Hedgerow Data'!$B$2:$AG$15,2,FALSE))</f>
        <v>Medium</v>
      </c>
      <c r="G205" s="363">
        <f>IF(D205="","",VLOOKUP(D205,'G-6 Hedgerow Data'!$B$2:$AG$15,3,FALSE))</f>
        <v>4</v>
      </c>
      <c r="H205" s="114" t="s">
        <v>67</v>
      </c>
      <c r="I205" s="363">
        <f>IFERROR(VLOOKUP(H205,'G-1 All Habitats'!$Z$2:$AA$9,2,FALSE),"")</f>
        <v>2</v>
      </c>
      <c r="J205" s="114" t="s">
        <v>1029</v>
      </c>
      <c r="K205" s="370" t="str">
        <f>IF(J205="","",IF(VLOOKUP(J205,'G-3 Multipliers'!$L$3:$N$6,2,FALSE)=0,"Spatial Data Missing",VLOOKUP(J205,'G-3 Multipliers'!$L$3:$N$6,2,FALSE)))</f>
        <v xml:space="preserve">High strategic significance </v>
      </c>
      <c r="L205" s="368">
        <f>IF(J205="","",IF(VLOOKUP(J205,'G-3 Multipliers'!$L$3:$N$6,3,FALSE)=0,"Spatial Data Missing ⚠",VLOOKUP(J205,'G-3 Multipliers'!$L$3:$N$6,3,FALSE)))</f>
        <v>1.1499999999999999</v>
      </c>
      <c r="M205" s="369" t="str">
        <f>IF(D205="","",VLOOKUP(D205,'G-6 Hedgerow Data'!$B$1:$AH$15,33,FALSE))</f>
        <v>Same distinctiveness band or better</v>
      </c>
      <c r="N205" s="376">
        <f t="shared" si="23"/>
        <v>1.9531599999999998</v>
      </c>
      <c r="O205" s="32"/>
      <c r="P205" s="122">
        <v>0.21229999999999999</v>
      </c>
      <c r="Q205" s="165">
        <v>0</v>
      </c>
      <c r="R205" s="393">
        <f t="shared" si="24"/>
        <v>1.9531599999999998</v>
      </c>
      <c r="S205" s="393">
        <f t="shared" si="25"/>
        <v>0</v>
      </c>
      <c r="T205" s="393">
        <f t="shared" si="26"/>
        <v>0</v>
      </c>
      <c r="U205" s="415">
        <f t="shared" si="27"/>
        <v>0</v>
      </c>
      <c r="V205" s="119"/>
      <c r="W205" s="120"/>
      <c r="X205" s="120"/>
      <c r="AE205" s="124" t="b">
        <f t="shared" si="21"/>
        <v>1</v>
      </c>
      <c r="AF205" s="124" t="b">
        <f t="shared" si="22"/>
        <v>0</v>
      </c>
      <c r="AH205" s="124">
        <v>196</v>
      </c>
      <c r="AJ205" s="124">
        <f t="array" ref="AJ205">IFERROR(INDEX($AH$10:$AH$258, MATCH(0, IF(TRUE=$AE$10:$AE$258, COUNTIF($AJ$9:$AJ204, $AH$10:$AH$258), ""), 0)),"")</f>
        <v>234</v>
      </c>
      <c r="AK205" s="124" t="str">
        <f t="array" ref="AK205">IFERROR(INDEX($AH$10:$AH$258, MATCH(0, IF(TRUE=$AF$10:$AF$258, COUNTIF($AK$9:$AK204, $AH$10:$AH$258), ""), 0)),"")</f>
        <v/>
      </c>
      <c r="AL205" s="30" t="str">
        <f>IFERROR(INDEX('G-6 Hedgerow Data'!$BJ$3:$BJ$15,MATCH(D205,'G-6 Hedgerow Data'!$B$3:$B$15,0)),"")</f>
        <v>Hedgecond1</v>
      </c>
    </row>
    <row r="206" spans="2:38" ht="42.75" x14ac:dyDescent="0.2">
      <c r="B206" s="110">
        <v>197</v>
      </c>
      <c r="C206" s="165" t="s">
        <v>1883</v>
      </c>
      <c r="D206" s="165" t="s">
        <v>176</v>
      </c>
      <c r="E206" s="121">
        <v>0.56540000000000001</v>
      </c>
      <c r="F206" s="411" t="str">
        <f>IF(D206="","",VLOOKUP(D206,'G-6 Hedgerow Data'!$B$2:$AG$15,2,FALSE))</f>
        <v>Low</v>
      </c>
      <c r="G206" s="363">
        <f>IF(D206="","",VLOOKUP(D206,'G-6 Hedgerow Data'!$B$2:$AG$15,3,FALSE))</f>
        <v>2</v>
      </c>
      <c r="H206" s="114" t="s">
        <v>68</v>
      </c>
      <c r="I206" s="363">
        <f>IFERROR(VLOOKUP(H206,'G-1 All Habitats'!$Z$2:$AA$9,2,FALSE),"")</f>
        <v>3</v>
      </c>
      <c r="J206" s="114" t="s">
        <v>1037</v>
      </c>
      <c r="K206" s="370" t="str">
        <f>IF(J206="","",IF(VLOOKUP(J206,'G-3 Multipliers'!$L$3:$N$6,2,FALSE)=0,"Spatial Data Missing",VLOOKUP(J206,'G-3 Multipliers'!$L$3:$N$6,2,FALSE)))</f>
        <v>Low Strategic Significance</v>
      </c>
      <c r="L206" s="368">
        <f>IF(J206="","",IF(VLOOKUP(J206,'G-3 Multipliers'!$L$3:$N$6,3,FALSE)=0,"Spatial Data Missing ⚠",VLOOKUP(J206,'G-3 Multipliers'!$L$3:$N$6,3,FALSE)))</f>
        <v>1</v>
      </c>
      <c r="M206" s="369" t="str">
        <f>IF(D206="","",VLOOKUP(D206,'G-6 Hedgerow Data'!$B$1:$AH$15,33,FALSE))</f>
        <v>Same distinctiveness band or better</v>
      </c>
      <c r="N206" s="376">
        <f t="shared" si="23"/>
        <v>3.3924000000000003</v>
      </c>
      <c r="O206" s="32"/>
      <c r="P206" s="122">
        <v>0.56540000000000001</v>
      </c>
      <c r="Q206" s="165">
        <v>0</v>
      </c>
      <c r="R206" s="393">
        <f t="shared" si="24"/>
        <v>3.3924000000000003</v>
      </c>
      <c r="S206" s="393">
        <f t="shared" si="25"/>
        <v>0</v>
      </c>
      <c r="T206" s="393">
        <f t="shared" si="26"/>
        <v>0</v>
      </c>
      <c r="U206" s="415">
        <f t="shared" si="27"/>
        <v>0</v>
      </c>
      <c r="V206" s="119"/>
      <c r="W206" s="120"/>
      <c r="X206" s="120"/>
      <c r="AE206" s="124" t="b">
        <f t="shared" si="21"/>
        <v>1</v>
      </c>
      <c r="AF206" s="124" t="b">
        <f t="shared" si="22"/>
        <v>0</v>
      </c>
      <c r="AH206" s="124">
        <v>197</v>
      </c>
      <c r="AJ206" s="124">
        <f t="array" ref="AJ206">IFERROR(INDEX($AH$10:$AH$258, MATCH(0, IF(TRUE=$AE$10:$AE$258, COUNTIF($AJ$9:$AJ205, $AH$10:$AH$258), ""), 0)),"")</f>
        <v>235</v>
      </c>
      <c r="AK206" s="124" t="str">
        <f t="array" ref="AK206">IFERROR(INDEX($AH$10:$AH$258, MATCH(0, IF(TRUE=$AF$10:$AF$258, COUNTIF($AK$9:$AK205, $AH$10:$AH$258), ""), 0)),"")</f>
        <v/>
      </c>
      <c r="AL206" s="30" t="str">
        <f>IFERROR(INDEX('G-6 Hedgerow Data'!$BJ$3:$BJ$15,MATCH(D206,'G-6 Hedgerow Data'!$B$3:$B$15,0)),"")</f>
        <v>Hedgecond1</v>
      </c>
    </row>
    <row r="207" spans="2:38" ht="42.75" x14ac:dyDescent="0.2">
      <c r="B207" s="110">
        <v>198</v>
      </c>
      <c r="C207" s="165" t="s">
        <v>1884</v>
      </c>
      <c r="D207" s="165" t="s">
        <v>176</v>
      </c>
      <c r="E207" s="121">
        <v>0.32919999999999999</v>
      </c>
      <c r="F207" s="411" t="str">
        <f>IF(D207="","",VLOOKUP(D207,'G-6 Hedgerow Data'!$B$2:$AG$15,2,FALSE))</f>
        <v>Low</v>
      </c>
      <c r="G207" s="363">
        <f>IF(D207="","",VLOOKUP(D207,'G-6 Hedgerow Data'!$B$2:$AG$15,3,FALSE))</f>
        <v>2</v>
      </c>
      <c r="H207" s="114" t="s">
        <v>67</v>
      </c>
      <c r="I207" s="363">
        <f>IFERROR(VLOOKUP(H207,'G-1 All Habitats'!$Z$2:$AA$9,2,FALSE),"")</f>
        <v>2</v>
      </c>
      <c r="J207" s="114" t="s">
        <v>1037</v>
      </c>
      <c r="K207" s="370" t="str">
        <f>IF(J207="","",IF(VLOOKUP(J207,'G-3 Multipliers'!$L$3:$N$6,2,FALSE)=0,"Spatial Data Missing",VLOOKUP(J207,'G-3 Multipliers'!$L$3:$N$6,2,FALSE)))</f>
        <v>Low Strategic Significance</v>
      </c>
      <c r="L207" s="368">
        <f>IF(J207="","",IF(VLOOKUP(J207,'G-3 Multipliers'!$L$3:$N$6,3,FALSE)=0,"Spatial Data Missing ⚠",VLOOKUP(J207,'G-3 Multipliers'!$L$3:$N$6,3,FALSE)))</f>
        <v>1</v>
      </c>
      <c r="M207" s="369" t="str">
        <f>IF(D207="","",VLOOKUP(D207,'G-6 Hedgerow Data'!$B$1:$AH$15,33,FALSE))</f>
        <v>Same distinctiveness band or better</v>
      </c>
      <c r="N207" s="376">
        <f t="shared" si="23"/>
        <v>1.3168</v>
      </c>
      <c r="O207" s="32"/>
      <c r="P207" s="122">
        <v>0.32850000000000001</v>
      </c>
      <c r="Q207" s="165">
        <v>0</v>
      </c>
      <c r="R207" s="393">
        <f t="shared" si="24"/>
        <v>1.3140000000000001</v>
      </c>
      <c r="S207" s="393">
        <f t="shared" si="25"/>
        <v>0</v>
      </c>
      <c r="T207" s="393">
        <f t="shared" si="26"/>
        <v>6.9999999999997842E-4</v>
      </c>
      <c r="U207" s="415">
        <f t="shared" si="27"/>
        <v>2.7999999999999137E-3</v>
      </c>
      <c r="V207" s="119" t="s">
        <v>1973</v>
      </c>
      <c r="W207" s="120"/>
      <c r="X207" s="120"/>
      <c r="AE207" s="124" t="b">
        <f t="shared" si="21"/>
        <v>1</v>
      </c>
      <c r="AF207" s="124" t="b">
        <f t="shared" si="22"/>
        <v>0</v>
      </c>
      <c r="AH207" s="124">
        <v>198</v>
      </c>
      <c r="AJ207" s="124">
        <f t="array" ref="AJ207">IFERROR(INDEX($AH$10:$AH$258, MATCH(0, IF(TRUE=$AE$10:$AE$258, COUNTIF($AJ$9:$AJ206, $AH$10:$AH$258), ""), 0)),"")</f>
        <v>236</v>
      </c>
      <c r="AK207" s="124" t="str">
        <f t="array" ref="AK207">IFERROR(INDEX($AH$10:$AH$258, MATCH(0, IF(TRUE=$AF$10:$AF$258, COUNTIF($AK$9:$AK206, $AH$10:$AH$258), ""), 0)),"")</f>
        <v/>
      </c>
      <c r="AL207" s="30" t="str">
        <f>IFERROR(INDEX('G-6 Hedgerow Data'!$BJ$3:$BJ$15,MATCH(D207,'G-6 Hedgerow Data'!$B$3:$B$15,0)),"")</f>
        <v>Hedgecond1</v>
      </c>
    </row>
    <row r="208" spans="2:38" ht="42.75" x14ac:dyDescent="0.2">
      <c r="B208" s="110">
        <v>199</v>
      </c>
      <c r="C208" s="165" t="s">
        <v>1885</v>
      </c>
      <c r="D208" s="165" t="s">
        <v>171</v>
      </c>
      <c r="E208" s="121">
        <v>0.43469999999999998</v>
      </c>
      <c r="F208" s="411" t="str">
        <f>IF(D208="","",VLOOKUP(D208,'G-6 Hedgerow Data'!$B$2:$AG$15,2,FALSE))</f>
        <v>Medium</v>
      </c>
      <c r="G208" s="363">
        <f>IF(D208="","",VLOOKUP(D208,'G-6 Hedgerow Data'!$B$2:$AG$15,3,FALSE))</f>
        <v>4</v>
      </c>
      <c r="H208" s="114" t="s">
        <v>67</v>
      </c>
      <c r="I208" s="363">
        <f>IFERROR(VLOOKUP(H208,'G-1 All Habitats'!$Z$2:$AA$9,2,FALSE),"")</f>
        <v>2</v>
      </c>
      <c r="J208" s="114" t="s">
        <v>1037</v>
      </c>
      <c r="K208" s="370" t="str">
        <f>IF(J208="","",IF(VLOOKUP(J208,'G-3 Multipliers'!$L$3:$N$6,2,FALSE)=0,"Spatial Data Missing",VLOOKUP(J208,'G-3 Multipliers'!$L$3:$N$6,2,FALSE)))</f>
        <v>Low Strategic Significance</v>
      </c>
      <c r="L208" s="368">
        <f>IF(J208="","",IF(VLOOKUP(J208,'G-3 Multipliers'!$L$3:$N$6,3,FALSE)=0,"Spatial Data Missing ⚠",VLOOKUP(J208,'G-3 Multipliers'!$L$3:$N$6,3,FALSE)))</f>
        <v>1</v>
      </c>
      <c r="M208" s="369" t="str">
        <f>IF(D208="","",VLOOKUP(D208,'G-6 Hedgerow Data'!$B$1:$AH$15,33,FALSE))</f>
        <v>Same distinctiveness band or better</v>
      </c>
      <c r="N208" s="376">
        <f t="shared" si="23"/>
        <v>3.4775999999999998</v>
      </c>
      <c r="O208" s="32"/>
      <c r="P208" s="122">
        <v>0.43469999999999998</v>
      </c>
      <c r="Q208" s="165">
        <v>0</v>
      </c>
      <c r="R208" s="393">
        <f t="shared" si="24"/>
        <v>3.4775999999999998</v>
      </c>
      <c r="S208" s="393">
        <f t="shared" si="25"/>
        <v>0</v>
      </c>
      <c r="T208" s="393">
        <f t="shared" si="26"/>
        <v>0</v>
      </c>
      <c r="U208" s="415">
        <f t="shared" si="27"/>
        <v>0</v>
      </c>
      <c r="V208" s="119"/>
      <c r="W208" s="120"/>
      <c r="X208" s="120"/>
      <c r="AE208" s="124" t="b">
        <f t="shared" si="21"/>
        <v>1</v>
      </c>
      <c r="AF208" s="124" t="b">
        <f t="shared" si="22"/>
        <v>0</v>
      </c>
      <c r="AH208" s="124">
        <v>199</v>
      </c>
      <c r="AJ208" s="124">
        <f t="array" ref="AJ208">IFERROR(INDEX($AH$10:$AH$258, MATCH(0, IF(TRUE=$AE$10:$AE$258, COUNTIF($AJ$9:$AJ207, $AH$10:$AH$258), ""), 0)),"")</f>
        <v>237</v>
      </c>
      <c r="AK208" s="124" t="str">
        <f t="array" ref="AK208">IFERROR(INDEX($AH$10:$AH$258, MATCH(0, IF(TRUE=$AF$10:$AF$258, COUNTIF($AK$9:$AK207, $AH$10:$AH$258), ""), 0)),"")</f>
        <v/>
      </c>
      <c r="AL208" s="30" t="str">
        <f>IFERROR(INDEX('G-6 Hedgerow Data'!$BJ$3:$BJ$15,MATCH(D208,'G-6 Hedgerow Data'!$B$3:$B$15,0)),"")</f>
        <v>Hedgecond1</v>
      </c>
    </row>
    <row r="209" spans="2:38" ht="42.75" x14ac:dyDescent="0.2">
      <c r="B209" s="110">
        <v>200</v>
      </c>
      <c r="C209" s="165" t="s">
        <v>1886</v>
      </c>
      <c r="D209" s="165" t="s">
        <v>176</v>
      </c>
      <c r="E209" s="121">
        <v>0.20100000000000001</v>
      </c>
      <c r="F209" s="411" t="str">
        <f>IF(D209="","",VLOOKUP(D209,'G-6 Hedgerow Data'!$B$2:$AG$15,2,FALSE))</f>
        <v>Low</v>
      </c>
      <c r="G209" s="363">
        <f>IF(D209="","",VLOOKUP(D209,'G-6 Hedgerow Data'!$B$2:$AG$15,3,FALSE))</f>
        <v>2</v>
      </c>
      <c r="H209" s="114" t="s">
        <v>67</v>
      </c>
      <c r="I209" s="363">
        <f>IFERROR(VLOOKUP(H209,'G-1 All Habitats'!$Z$2:$AA$9,2,FALSE),"")</f>
        <v>2</v>
      </c>
      <c r="J209" s="114" t="s">
        <v>1037</v>
      </c>
      <c r="K209" s="370" t="str">
        <f>IF(J209="","",IF(VLOOKUP(J209,'G-3 Multipliers'!$L$3:$N$6,2,FALSE)=0,"Spatial Data Missing",VLOOKUP(J209,'G-3 Multipliers'!$L$3:$N$6,2,FALSE)))</f>
        <v>Low Strategic Significance</v>
      </c>
      <c r="L209" s="368">
        <f>IF(J209="","",IF(VLOOKUP(J209,'G-3 Multipliers'!$L$3:$N$6,3,FALSE)=0,"Spatial Data Missing ⚠",VLOOKUP(J209,'G-3 Multipliers'!$L$3:$N$6,3,FALSE)))</f>
        <v>1</v>
      </c>
      <c r="M209" s="369" t="str">
        <f>IF(D209="","",VLOOKUP(D209,'G-6 Hedgerow Data'!$B$1:$AH$15,33,FALSE))</f>
        <v>Same distinctiveness band or better</v>
      </c>
      <c r="N209" s="376">
        <f t="shared" si="23"/>
        <v>0.80400000000000005</v>
      </c>
      <c r="O209" s="32"/>
      <c r="P209" s="122">
        <v>0</v>
      </c>
      <c r="Q209" s="165">
        <v>0.20100000000000001</v>
      </c>
      <c r="R209" s="393">
        <f t="shared" si="24"/>
        <v>0</v>
      </c>
      <c r="S209" s="393">
        <f t="shared" si="25"/>
        <v>0.80400000000000005</v>
      </c>
      <c r="T209" s="393">
        <f t="shared" si="26"/>
        <v>0</v>
      </c>
      <c r="U209" s="415">
        <f t="shared" si="27"/>
        <v>0</v>
      </c>
      <c r="V209" s="119"/>
      <c r="W209" s="120"/>
      <c r="X209" s="120"/>
      <c r="AE209" s="124" t="b">
        <f t="shared" si="21"/>
        <v>0</v>
      </c>
      <c r="AF209" s="124" t="b">
        <f t="shared" si="22"/>
        <v>1</v>
      </c>
      <c r="AH209" s="124">
        <v>200</v>
      </c>
      <c r="AJ209" s="124">
        <f t="array" ref="AJ209">IFERROR(INDEX($AH$10:$AH$258, MATCH(0, IF(TRUE=$AE$10:$AE$258, COUNTIF($AJ$9:$AJ208, $AH$10:$AH$258), ""), 0)),"")</f>
        <v>238</v>
      </c>
      <c r="AK209" s="124" t="str">
        <f t="array" ref="AK209">IFERROR(INDEX($AH$10:$AH$258, MATCH(0, IF(TRUE=$AF$10:$AF$258, COUNTIF($AK$9:$AK208, $AH$10:$AH$258), ""), 0)),"")</f>
        <v/>
      </c>
      <c r="AL209" s="30" t="str">
        <f>IFERROR(INDEX('G-6 Hedgerow Data'!$BJ$3:$BJ$15,MATCH(D209,'G-6 Hedgerow Data'!$B$3:$B$15,0)),"")</f>
        <v>Hedgecond1</v>
      </c>
    </row>
    <row r="210" spans="2:38" ht="42.75" x14ac:dyDescent="0.2">
      <c r="B210" s="110">
        <v>201</v>
      </c>
      <c r="C210" s="165" t="s">
        <v>1887</v>
      </c>
      <c r="D210" s="165" t="s">
        <v>173</v>
      </c>
      <c r="E210" s="121">
        <v>0.2089</v>
      </c>
      <c r="F210" s="411" t="str">
        <f>IF(D210="","",VLOOKUP(D210,'G-6 Hedgerow Data'!$B$2:$AG$15,2,FALSE))</f>
        <v>Medium</v>
      </c>
      <c r="G210" s="363">
        <f>IF(D210="","",VLOOKUP(D210,'G-6 Hedgerow Data'!$B$2:$AG$15,3,FALSE))</f>
        <v>4</v>
      </c>
      <c r="H210" s="114" t="s">
        <v>67</v>
      </c>
      <c r="I210" s="363">
        <f>IFERROR(VLOOKUP(H210,'G-1 All Habitats'!$Z$2:$AA$9,2,FALSE),"")</f>
        <v>2</v>
      </c>
      <c r="J210" s="114" t="s">
        <v>1037</v>
      </c>
      <c r="K210" s="370" t="str">
        <f>IF(J210="","",IF(VLOOKUP(J210,'G-3 Multipliers'!$L$3:$N$6,2,FALSE)=0,"Spatial Data Missing",VLOOKUP(J210,'G-3 Multipliers'!$L$3:$N$6,2,FALSE)))</f>
        <v>Low Strategic Significance</v>
      </c>
      <c r="L210" s="368">
        <f>IF(J210="","",IF(VLOOKUP(J210,'G-3 Multipliers'!$L$3:$N$6,3,FALSE)=0,"Spatial Data Missing ⚠",VLOOKUP(J210,'G-3 Multipliers'!$L$3:$N$6,3,FALSE)))</f>
        <v>1</v>
      </c>
      <c r="M210" s="369" t="str">
        <f>IF(D210="","",VLOOKUP(D210,'G-6 Hedgerow Data'!$B$1:$AH$15,33,FALSE))</f>
        <v>Same distinctiveness band or better</v>
      </c>
      <c r="N210" s="376">
        <f t="shared" si="23"/>
        <v>1.6712</v>
      </c>
      <c r="O210" s="32"/>
      <c r="P210" s="122">
        <v>0.1245</v>
      </c>
      <c r="Q210" s="165">
        <v>8.43E-2</v>
      </c>
      <c r="R210" s="393">
        <f t="shared" si="24"/>
        <v>0.996</v>
      </c>
      <c r="S210" s="393">
        <f t="shared" si="25"/>
        <v>0.6744</v>
      </c>
      <c r="T210" s="393">
        <f t="shared" si="26"/>
        <v>1.0000000000000286E-4</v>
      </c>
      <c r="U210" s="415">
        <f t="shared" si="27"/>
        <v>8.0000000000002292E-4</v>
      </c>
      <c r="V210" s="119"/>
      <c r="W210" s="120"/>
      <c r="X210" s="120"/>
      <c r="AE210" s="124" t="b">
        <f t="shared" si="21"/>
        <v>1</v>
      </c>
      <c r="AF210" s="124" t="b">
        <f t="shared" si="22"/>
        <v>1</v>
      </c>
      <c r="AH210" s="124">
        <v>201</v>
      </c>
      <c r="AJ210" s="124">
        <f t="array" ref="AJ210">IFERROR(INDEX($AH$10:$AH$258, MATCH(0, IF(TRUE=$AE$10:$AE$258, COUNTIF($AJ$9:$AJ209, $AH$10:$AH$258), ""), 0)),"")</f>
        <v>239</v>
      </c>
      <c r="AK210" s="124" t="str">
        <f t="array" ref="AK210">IFERROR(INDEX($AH$10:$AH$258, MATCH(0, IF(TRUE=$AF$10:$AF$258, COUNTIF($AK$9:$AK209, $AH$10:$AH$258), ""), 0)),"")</f>
        <v/>
      </c>
      <c r="AL210" s="30" t="str">
        <f>IFERROR(INDEX('G-6 Hedgerow Data'!$BJ$3:$BJ$15,MATCH(D210,'G-6 Hedgerow Data'!$B$3:$B$15,0)),"")</f>
        <v>Hedgecond1</v>
      </c>
    </row>
    <row r="211" spans="2:38" ht="42.75" x14ac:dyDescent="0.2">
      <c r="B211" s="110">
        <v>202</v>
      </c>
      <c r="C211" s="165" t="s">
        <v>1888</v>
      </c>
      <c r="D211" s="165" t="s">
        <v>176</v>
      </c>
      <c r="E211" s="121">
        <v>0.11840000000000001</v>
      </c>
      <c r="F211" s="411" t="str">
        <f>IF(D211="","",VLOOKUP(D211,'G-6 Hedgerow Data'!$B$2:$AG$15,2,FALSE))</f>
        <v>Low</v>
      </c>
      <c r="G211" s="363">
        <f>IF(D211="","",VLOOKUP(D211,'G-6 Hedgerow Data'!$B$2:$AG$15,3,FALSE))</f>
        <v>2</v>
      </c>
      <c r="H211" s="114" t="s">
        <v>329</v>
      </c>
      <c r="I211" s="363">
        <f>IFERROR(VLOOKUP(H211,'G-1 All Habitats'!$Z$2:$AA$9,2,FALSE),"")</f>
        <v>1</v>
      </c>
      <c r="J211" s="114" t="s">
        <v>1037</v>
      </c>
      <c r="K211" s="370" t="str">
        <f>IF(J211="","",IF(VLOOKUP(J211,'G-3 Multipliers'!$L$3:$N$6,2,FALSE)=0,"Spatial Data Missing ⚠",VLOOKUP(J211,'G-3 Multipliers'!$L$3:$N$6,2,FALSE)))</f>
        <v>Low Strategic Significance</v>
      </c>
      <c r="L211" s="368">
        <f>IF(J211="","",IF(VLOOKUP(J211,'G-3 Multipliers'!$L$3:$N$6,3,FALSE)=0,"Spatial Data Missing ⚠",VLOOKUP(J211,'G-3 Multipliers'!$L$3:$N$6,3,FALSE)))</f>
        <v>1</v>
      </c>
      <c r="M211" s="369" t="str">
        <f>IF(D211="","",VLOOKUP(D211,'G-6 Hedgerow Data'!$B$1:$AH$15,33,FALSE))</f>
        <v>Same distinctiveness band or better</v>
      </c>
      <c r="N211" s="376">
        <f t="shared" si="23"/>
        <v>0.23680000000000001</v>
      </c>
      <c r="O211" s="32"/>
      <c r="P211" s="122">
        <v>2.3300000000000001E-2</v>
      </c>
      <c r="Q211" s="165">
        <v>9.3899999999999997E-2</v>
      </c>
      <c r="R211" s="393">
        <f t="shared" si="24"/>
        <v>4.6600000000000003E-2</v>
      </c>
      <c r="S211" s="393">
        <f t="shared" si="25"/>
        <v>0.18779999999999999</v>
      </c>
      <c r="T211" s="393">
        <f t="shared" si="26"/>
        <v>1.2000000000000066E-3</v>
      </c>
      <c r="U211" s="415">
        <f t="shared" si="27"/>
        <v>2.4000000000000132E-3</v>
      </c>
      <c r="V211" s="119" t="s">
        <v>1974</v>
      </c>
      <c r="W211" s="120"/>
      <c r="X211" s="120"/>
      <c r="AE211" s="124" t="b">
        <f t="shared" si="21"/>
        <v>1</v>
      </c>
      <c r="AF211" s="124" t="b">
        <f t="shared" si="22"/>
        <v>1</v>
      </c>
      <c r="AH211" s="124">
        <v>202</v>
      </c>
      <c r="AJ211" s="124">
        <f t="array" ref="AJ211">IFERROR(INDEX($AH$10:$AH$258, MATCH(0, IF(TRUE=$AE$10:$AE$258, COUNTIF($AJ$9:$AJ210, $AH$10:$AH$258), ""), 0)),"")</f>
        <v>240</v>
      </c>
      <c r="AK211" s="124" t="str">
        <f t="array" ref="AK211">IFERROR(INDEX($AH$10:$AH$258, MATCH(0, IF(TRUE=$AF$10:$AF$258, COUNTIF($AK$9:$AK210, $AH$10:$AH$258), ""), 0)),"")</f>
        <v/>
      </c>
      <c r="AL211" s="30" t="str">
        <f>IFERROR(INDEX('G-6 Hedgerow Data'!$BJ$3:$BJ$15,MATCH(D211,'G-6 Hedgerow Data'!$B$3:$B$15,0)),"")</f>
        <v>Hedgecond1</v>
      </c>
    </row>
    <row r="212" spans="2:38" ht="42.75" x14ac:dyDescent="0.2">
      <c r="B212" s="110">
        <v>203</v>
      </c>
      <c r="C212" s="165" t="s">
        <v>1889</v>
      </c>
      <c r="D212" s="165" t="s">
        <v>176</v>
      </c>
      <c r="E212" s="121">
        <v>0.1077</v>
      </c>
      <c r="F212" s="411" t="str">
        <f>IF(D212="","",VLOOKUP(D212,'G-6 Hedgerow Data'!$B$2:$AG$15,2,FALSE))</f>
        <v>Low</v>
      </c>
      <c r="G212" s="363">
        <f>IF(D212="","",VLOOKUP(D212,'G-6 Hedgerow Data'!$B$2:$AG$15,3,FALSE))</f>
        <v>2</v>
      </c>
      <c r="H212" s="114" t="s">
        <v>329</v>
      </c>
      <c r="I212" s="363">
        <f>IFERROR(VLOOKUP(H212,'G-1 All Habitats'!$Z$2:$AA$9,2,FALSE),"")</f>
        <v>1</v>
      </c>
      <c r="J212" s="114" t="s">
        <v>1037</v>
      </c>
      <c r="K212" s="370" t="str">
        <f>IF(J212="","",IF(VLOOKUP(J212,'G-3 Multipliers'!$L$3:$N$6,2,FALSE)=0,"Spatial Data Missing ⚠",VLOOKUP(J212,'G-3 Multipliers'!$L$3:$N$6,2,FALSE)))</f>
        <v>Low Strategic Significance</v>
      </c>
      <c r="L212" s="368">
        <f>IF(J212="","",IF(VLOOKUP(J212,'G-3 Multipliers'!$L$3:$N$6,3,FALSE)=0,"Spatial Data Missing ⚠",VLOOKUP(J212,'G-3 Multipliers'!$L$3:$N$6,3,FALSE)))</f>
        <v>1</v>
      </c>
      <c r="M212" s="369" t="str">
        <f>IF(D212="","",VLOOKUP(D212,'G-6 Hedgerow Data'!$B$1:$AH$15,33,FALSE))</f>
        <v>Same distinctiveness band or better</v>
      </c>
      <c r="N212" s="376">
        <f t="shared" si="23"/>
        <v>0.21540000000000001</v>
      </c>
      <c r="O212" s="32"/>
      <c r="P212" s="122">
        <v>0.1077</v>
      </c>
      <c r="Q212" s="165">
        <v>0</v>
      </c>
      <c r="R212" s="393">
        <f t="shared" si="24"/>
        <v>0.21540000000000001</v>
      </c>
      <c r="S212" s="393">
        <f t="shared" si="25"/>
        <v>0</v>
      </c>
      <c r="T212" s="393">
        <f t="shared" si="26"/>
        <v>0</v>
      </c>
      <c r="U212" s="415">
        <f t="shared" si="27"/>
        <v>0</v>
      </c>
      <c r="V212" s="119"/>
      <c r="W212" s="120"/>
      <c r="X212" s="120"/>
      <c r="AE212" s="124" t="b">
        <f t="shared" si="21"/>
        <v>1</v>
      </c>
      <c r="AF212" s="124" t="b">
        <f t="shared" si="22"/>
        <v>0</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Hedgecond1</v>
      </c>
    </row>
    <row r="213" spans="2:38" ht="42.75" x14ac:dyDescent="0.2">
      <c r="B213" s="110">
        <v>204</v>
      </c>
      <c r="C213" s="165" t="s">
        <v>1890</v>
      </c>
      <c r="D213" s="165" t="s">
        <v>173</v>
      </c>
      <c r="E213" s="121">
        <v>0.54720000000000002</v>
      </c>
      <c r="F213" s="411" t="str">
        <f>IF(D213="","",VLOOKUP(D213,'G-6 Hedgerow Data'!$B$2:$AG$15,2,FALSE))</f>
        <v>Medium</v>
      </c>
      <c r="G213" s="363">
        <f>IF(D213="","",VLOOKUP(D213,'G-6 Hedgerow Data'!$B$2:$AG$15,3,FALSE))</f>
        <v>4</v>
      </c>
      <c r="H213" s="114" t="s">
        <v>67</v>
      </c>
      <c r="I213" s="363">
        <f>IFERROR(VLOOKUP(H213,'G-1 All Habitats'!$Z$2:$AA$9,2,FALSE),"")</f>
        <v>2</v>
      </c>
      <c r="J213" s="114" t="s">
        <v>1037</v>
      </c>
      <c r="K213" s="370" t="str">
        <f>IF(J213="","",IF(VLOOKUP(J213,'G-3 Multipliers'!$L$3:$N$6,2,FALSE)=0,"Spatial Data Missing ⚠",VLOOKUP(J213,'G-3 Multipliers'!$L$3:$N$6,2,FALSE)))</f>
        <v>Low Strategic Significance</v>
      </c>
      <c r="L213" s="368">
        <f>IF(J213="","",IF(VLOOKUP(J213,'G-3 Multipliers'!$L$3:$N$6,3,FALSE)=0,"Spatial Data Missing ⚠",VLOOKUP(J213,'G-3 Multipliers'!$L$3:$N$6,3,FALSE)))</f>
        <v>1</v>
      </c>
      <c r="M213" s="369" t="str">
        <f>IF(D213="","",VLOOKUP(D213,'G-6 Hedgerow Data'!$B$1:$AH$15,33,FALSE))</f>
        <v>Same distinctiveness band or better</v>
      </c>
      <c r="N213" s="376">
        <f t="shared" si="23"/>
        <v>4.3776000000000002</v>
      </c>
      <c r="O213" s="32"/>
      <c r="P213" s="122">
        <v>0.54720000000000002</v>
      </c>
      <c r="Q213" s="165">
        <v>0</v>
      </c>
      <c r="R213" s="393">
        <f t="shared" si="24"/>
        <v>4.3776000000000002</v>
      </c>
      <c r="S213" s="393">
        <f t="shared" si="25"/>
        <v>0</v>
      </c>
      <c r="T213" s="393">
        <f t="shared" si="26"/>
        <v>0</v>
      </c>
      <c r="U213" s="415">
        <f t="shared" si="27"/>
        <v>0</v>
      </c>
      <c r="V213" s="119"/>
      <c r="W213" s="120"/>
      <c r="X213" s="120"/>
      <c r="AE213" s="124" t="b">
        <f t="shared" si="21"/>
        <v>1</v>
      </c>
      <c r="AF213" s="124" t="b">
        <f t="shared" si="22"/>
        <v>0</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Hedgecond1</v>
      </c>
    </row>
    <row r="214" spans="2:38" ht="42.75" x14ac:dyDescent="0.2">
      <c r="B214" s="110">
        <v>205</v>
      </c>
      <c r="C214" s="165" t="s">
        <v>1891</v>
      </c>
      <c r="D214" s="165" t="s">
        <v>176</v>
      </c>
      <c r="E214" s="121">
        <v>0.1066</v>
      </c>
      <c r="F214" s="411" t="str">
        <f>IF(D214="","",VLOOKUP(D214,'G-6 Hedgerow Data'!$B$2:$AG$15,2,FALSE))</f>
        <v>Low</v>
      </c>
      <c r="G214" s="363">
        <f>IF(D214="","",VLOOKUP(D214,'G-6 Hedgerow Data'!$B$2:$AG$15,3,FALSE))</f>
        <v>2</v>
      </c>
      <c r="H214" s="114" t="s">
        <v>67</v>
      </c>
      <c r="I214" s="363">
        <f>IFERROR(VLOOKUP(H214,'G-1 All Habitats'!$Z$2:$AA$9,2,FALSE),"")</f>
        <v>2</v>
      </c>
      <c r="J214" s="114" t="s">
        <v>1037</v>
      </c>
      <c r="K214" s="370" t="str">
        <f>IF(J214="","",IF(VLOOKUP(J214,'G-3 Multipliers'!$L$3:$N$6,2,FALSE)=0,"Spatial Data Missing ⚠",VLOOKUP(J214,'G-3 Multipliers'!$L$3:$N$6,2,FALSE)))</f>
        <v>Low Strategic Significance</v>
      </c>
      <c r="L214" s="368">
        <f>IF(J214="","",IF(VLOOKUP(J214,'G-3 Multipliers'!$L$3:$N$6,3,FALSE)=0,"Spatial Data Missing ⚠",VLOOKUP(J214,'G-3 Multipliers'!$L$3:$N$6,3,FALSE)))</f>
        <v>1</v>
      </c>
      <c r="M214" s="369" t="str">
        <f>IF(D214="","",VLOOKUP(D214,'G-6 Hedgerow Data'!$B$1:$AH$15,33,FALSE))</f>
        <v>Same distinctiveness band or better</v>
      </c>
      <c r="N214" s="376">
        <f t="shared" si="23"/>
        <v>0.4264</v>
      </c>
      <c r="O214" s="32"/>
      <c r="P214" s="122">
        <v>1.54E-2</v>
      </c>
      <c r="Q214" s="165">
        <v>9.1200000000000003E-2</v>
      </c>
      <c r="R214" s="393">
        <f t="shared" si="24"/>
        <v>6.1600000000000002E-2</v>
      </c>
      <c r="S214" s="393">
        <f t="shared" si="25"/>
        <v>0.36480000000000001</v>
      </c>
      <c r="T214" s="393">
        <f t="shared" si="26"/>
        <v>0</v>
      </c>
      <c r="U214" s="415">
        <f t="shared" si="27"/>
        <v>0</v>
      </c>
      <c r="V214" s="119"/>
      <c r="W214" s="120"/>
      <c r="X214" s="120"/>
      <c r="AE214" s="124" t="b">
        <f t="shared" si="21"/>
        <v>1</v>
      </c>
      <c r="AF214" s="124" t="b">
        <f t="shared" si="22"/>
        <v>1</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Hedgecond1</v>
      </c>
    </row>
    <row r="215" spans="2:38" ht="42.75" x14ac:dyDescent="0.2">
      <c r="B215" s="110">
        <v>206</v>
      </c>
      <c r="C215" s="165" t="s">
        <v>1892</v>
      </c>
      <c r="D215" s="165" t="s">
        <v>173</v>
      </c>
      <c r="E215" s="121">
        <v>0.42259999999999998</v>
      </c>
      <c r="F215" s="411" t="str">
        <f>IF(D215="","",VLOOKUP(D215,'G-6 Hedgerow Data'!$B$2:$AG$15,2,FALSE))</f>
        <v>Medium</v>
      </c>
      <c r="G215" s="363">
        <f>IF(D215="","",VLOOKUP(D215,'G-6 Hedgerow Data'!$B$2:$AG$15,3,FALSE))</f>
        <v>4</v>
      </c>
      <c r="H215" s="114" t="s">
        <v>67</v>
      </c>
      <c r="I215" s="363">
        <f>IFERROR(VLOOKUP(H215,'G-1 All Habitats'!$Z$2:$AA$9,2,FALSE),"")</f>
        <v>2</v>
      </c>
      <c r="J215" s="114" t="s">
        <v>1037</v>
      </c>
      <c r="K215" s="370" t="str">
        <f>IF(J215="","",IF(VLOOKUP(J215,'G-3 Multipliers'!$L$3:$N$6,2,FALSE)=0,"Spatial Data Missing ⚠",VLOOKUP(J215,'G-3 Multipliers'!$L$3:$N$6,2,FALSE)))</f>
        <v>Low Strategic Significance</v>
      </c>
      <c r="L215" s="368">
        <f>IF(J215="","",IF(VLOOKUP(J215,'G-3 Multipliers'!$L$3:$N$6,3,FALSE)=0,"Spatial Data Missing ⚠",VLOOKUP(J215,'G-3 Multipliers'!$L$3:$N$6,3,FALSE)))</f>
        <v>1</v>
      </c>
      <c r="M215" s="369" t="str">
        <f>IF(D215="","",VLOOKUP(D215,'G-6 Hedgerow Data'!$B$1:$AH$15,33,FALSE))</f>
        <v>Same distinctiveness band or better</v>
      </c>
      <c r="N215" s="376">
        <f t="shared" si="23"/>
        <v>3.3807999999999998</v>
      </c>
      <c r="O215" s="32"/>
      <c r="P215" s="122">
        <v>0.42259999999999998</v>
      </c>
      <c r="Q215" s="165">
        <v>0</v>
      </c>
      <c r="R215" s="393">
        <f t="shared" si="24"/>
        <v>3.3807999999999998</v>
      </c>
      <c r="S215" s="393">
        <f t="shared" si="25"/>
        <v>0</v>
      </c>
      <c r="T215" s="393">
        <f t="shared" si="26"/>
        <v>0</v>
      </c>
      <c r="U215" s="415">
        <f t="shared" si="27"/>
        <v>0</v>
      </c>
      <c r="V215" s="119"/>
      <c r="W215" s="120"/>
      <c r="X215" s="120"/>
      <c r="AE215" s="124" t="b">
        <f t="shared" si="21"/>
        <v>1</v>
      </c>
      <c r="AF215" s="124" t="b">
        <f t="shared" si="22"/>
        <v>0</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Hedgecond1</v>
      </c>
    </row>
    <row r="216" spans="2:38" ht="42.75" x14ac:dyDescent="0.2">
      <c r="B216" s="110">
        <v>207</v>
      </c>
      <c r="C216" s="165" t="s">
        <v>1893</v>
      </c>
      <c r="D216" s="165" t="s">
        <v>173</v>
      </c>
      <c r="E216" s="121">
        <v>0.18410000000000001</v>
      </c>
      <c r="F216" s="411" t="str">
        <f>IF(D216="","",VLOOKUP(D216,'G-6 Hedgerow Data'!$B$2:$AG$15,2,FALSE))</f>
        <v>Medium</v>
      </c>
      <c r="G216" s="363">
        <f>IF(D216="","",VLOOKUP(D216,'G-6 Hedgerow Data'!$B$2:$AG$15,3,FALSE))</f>
        <v>4</v>
      </c>
      <c r="H216" s="114" t="s">
        <v>67</v>
      </c>
      <c r="I216" s="363">
        <f>IFERROR(VLOOKUP(H216,'G-1 All Habitats'!$Z$2:$AA$9,2,FALSE),"")</f>
        <v>2</v>
      </c>
      <c r="J216" s="114" t="s">
        <v>1037</v>
      </c>
      <c r="K216" s="370" t="str">
        <f>IF(J216="","",IF(VLOOKUP(J216,'G-3 Multipliers'!$L$3:$N$6,2,FALSE)=0,"Spatial Data Missing ⚠",VLOOKUP(J216,'G-3 Multipliers'!$L$3:$N$6,2,FALSE)))</f>
        <v>Low Strategic Significance</v>
      </c>
      <c r="L216" s="368">
        <f>IF(J216="","",IF(VLOOKUP(J216,'G-3 Multipliers'!$L$3:$N$6,3,FALSE)=0,"Spatial Data Missing ⚠",VLOOKUP(J216,'G-3 Multipliers'!$L$3:$N$6,3,FALSE)))</f>
        <v>1</v>
      </c>
      <c r="M216" s="369" t="str">
        <f>IF(D216="","",VLOOKUP(D216,'G-6 Hedgerow Data'!$B$1:$AH$15,33,FALSE))</f>
        <v>Same distinctiveness band or better</v>
      </c>
      <c r="N216" s="376">
        <f t="shared" si="23"/>
        <v>1.4728000000000001</v>
      </c>
      <c r="O216" s="32"/>
      <c r="P216" s="122">
        <v>2.0799999999999999E-2</v>
      </c>
      <c r="Q216" s="165">
        <v>0.1633</v>
      </c>
      <c r="R216" s="393">
        <f t="shared" si="24"/>
        <v>0.16639999999999999</v>
      </c>
      <c r="S216" s="393">
        <f t="shared" si="25"/>
        <v>1.3064</v>
      </c>
      <c r="T216" s="393">
        <f t="shared" si="26"/>
        <v>0</v>
      </c>
      <c r="U216" s="415">
        <f t="shared" si="27"/>
        <v>0</v>
      </c>
      <c r="V216" s="119"/>
      <c r="W216" s="120"/>
      <c r="X216" s="120"/>
      <c r="AE216" s="124" t="b">
        <f t="shared" si="21"/>
        <v>1</v>
      </c>
      <c r="AF216" s="124" t="b">
        <f t="shared" si="22"/>
        <v>1</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Hedgecond1</v>
      </c>
    </row>
    <row r="217" spans="2:38" ht="42.75" x14ac:dyDescent="0.2">
      <c r="B217" s="110">
        <v>208</v>
      </c>
      <c r="C217" s="165" t="s">
        <v>1894</v>
      </c>
      <c r="D217" s="165" t="s">
        <v>176</v>
      </c>
      <c r="E217" s="121">
        <v>0.16120000000000001</v>
      </c>
      <c r="F217" s="411" t="str">
        <f>IF(D217="","",VLOOKUP(D217,'G-6 Hedgerow Data'!$B$2:$AG$15,2,FALSE))</f>
        <v>Low</v>
      </c>
      <c r="G217" s="363">
        <f>IF(D217="","",VLOOKUP(D217,'G-6 Hedgerow Data'!$B$2:$AG$15,3,FALSE))</f>
        <v>2</v>
      </c>
      <c r="H217" s="114" t="s">
        <v>68</v>
      </c>
      <c r="I217" s="363">
        <f>IFERROR(VLOOKUP(H217,'G-1 All Habitats'!$Z$2:$AA$9,2,FALSE),"")</f>
        <v>3</v>
      </c>
      <c r="J217" s="114" t="s">
        <v>1037</v>
      </c>
      <c r="K217" s="370" t="str">
        <f>IF(J217="","",IF(VLOOKUP(J217,'G-3 Multipliers'!$L$3:$N$6,2,FALSE)=0,"Spatial Data Missing ⚠",VLOOKUP(J217,'G-3 Multipliers'!$L$3:$N$6,2,FALSE)))</f>
        <v>Low Strategic Significance</v>
      </c>
      <c r="L217" s="368">
        <f>IF(J217="","",IF(VLOOKUP(J217,'G-3 Multipliers'!$L$3:$N$6,3,FALSE)=0,"Spatial Data Missing ⚠",VLOOKUP(J217,'G-3 Multipliers'!$L$3:$N$6,3,FALSE)))</f>
        <v>1</v>
      </c>
      <c r="M217" s="369" t="str">
        <f>IF(D217="","",VLOOKUP(D217,'G-6 Hedgerow Data'!$B$1:$AH$15,33,FALSE))</f>
        <v>Same distinctiveness band or better</v>
      </c>
      <c r="N217" s="376">
        <f t="shared" si="23"/>
        <v>0.96720000000000006</v>
      </c>
      <c r="O217" s="32"/>
      <c r="P217" s="122">
        <v>0.15970000000000001</v>
      </c>
      <c r="Q217" s="165">
        <v>0</v>
      </c>
      <c r="R217" s="393">
        <f t="shared" si="24"/>
        <v>0.95820000000000005</v>
      </c>
      <c r="S217" s="393">
        <f t="shared" si="25"/>
        <v>0</v>
      </c>
      <c r="T217" s="393">
        <f t="shared" si="26"/>
        <v>1.5000000000000013E-3</v>
      </c>
      <c r="U217" s="415">
        <f t="shared" si="27"/>
        <v>9.000000000000008E-3</v>
      </c>
      <c r="V217" s="119"/>
      <c r="W217" s="120"/>
      <c r="X217" s="120"/>
      <c r="AE217" s="124" t="b">
        <f t="shared" si="21"/>
        <v>1</v>
      </c>
      <c r="AF217" s="124" t="b">
        <f t="shared" si="22"/>
        <v>0</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Hedgecond1</v>
      </c>
    </row>
    <row r="218" spans="2:38" ht="42.75" x14ac:dyDescent="0.2">
      <c r="B218" s="110">
        <v>209</v>
      </c>
      <c r="C218" s="165" t="s">
        <v>1895</v>
      </c>
      <c r="D218" s="165" t="s">
        <v>171</v>
      </c>
      <c r="E218" s="121">
        <v>0.1447</v>
      </c>
      <c r="F218" s="411" t="str">
        <f>IF(D218="","",VLOOKUP(D218,'G-6 Hedgerow Data'!$B$2:$AG$15,2,FALSE))</f>
        <v>Medium</v>
      </c>
      <c r="G218" s="363">
        <f>IF(D218="","",VLOOKUP(D218,'G-6 Hedgerow Data'!$B$2:$AG$15,3,FALSE))</f>
        <v>4</v>
      </c>
      <c r="H218" s="114" t="s">
        <v>68</v>
      </c>
      <c r="I218" s="363">
        <f>IFERROR(VLOOKUP(H218,'G-1 All Habitats'!$Z$2:$AA$9,2,FALSE),"")</f>
        <v>3</v>
      </c>
      <c r="J218" s="114" t="s">
        <v>1037</v>
      </c>
      <c r="K218" s="370" t="str">
        <f>IF(J218="","",IF(VLOOKUP(J218,'G-3 Multipliers'!$L$3:$N$6,2,FALSE)=0,"Spatial Data Missing ⚠",VLOOKUP(J218,'G-3 Multipliers'!$L$3:$N$6,2,FALSE)))</f>
        <v>Low Strategic Significance</v>
      </c>
      <c r="L218" s="368">
        <f>IF(J218="","",IF(VLOOKUP(J218,'G-3 Multipliers'!$L$3:$N$6,3,FALSE)=0,"Spatial Data Missing ⚠",VLOOKUP(J218,'G-3 Multipliers'!$L$3:$N$6,3,FALSE)))</f>
        <v>1</v>
      </c>
      <c r="M218" s="369" t="str">
        <f>IF(D218="","",VLOOKUP(D218,'G-6 Hedgerow Data'!$B$1:$AH$15,33,FALSE))</f>
        <v>Same distinctiveness band or better</v>
      </c>
      <c r="N218" s="376">
        <f t="shared" si="23"/>
        <v>1.7363999999999999</v>
      </c>
      <c r="O218" s="32"/>
      <c r="P218" s="122">
        <v>0.14069999999999999</v>
      </c>
      <c r="Q218" s="165">
        <v>0</v>
      </c>
      <c r="R218" s="393">
        <f t="shared" si="24"/>
        <v>1.6883999999999999</v>
      </c>
      <c r="S218" s="393">
        <f t="shared" si="25"/>
        <v>0</v>
      </c>
      <c r="T218" s="393">
        <f t="shared" si="26"/>
        <v>4.0000000000000036E-3</v>
      </c>
      <c r="U218" s="415">
        <f t="shared" si="27"/>
        <v>4.8000000000000043E-2</v>
      </c>
      <c r="V218" s="119" t="s">
        <v>1975</v>
      </c>
      <c r="W218" s="120"/>
      <c r="X218" s="120"/>
      <c r="AE218" s="124" t="b">
        <f t="shared" si="21"/>
        <v>1</v>
      </c>
      <c r="AF218" s="124" t="b">
        <f t="shared" si="22"/>
        <v>0</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Hedgecond1</v>
      </c>
    </row>
    <row r="219" spans="2:38" ht="42.75" x14ac:dyDescent="0.2">
      <c r="B219" s="110">
        <v>210</v>
      </c>
      <c r="C219" s="165" t="s">
        <v>1896</v>
      </c>
      <c r="D219" s="165" t="s">
        <v>173</v>
      </c>
      <c r="E219" s="121">
        <v>0.11650000000000001</v>
      </c>
      <c r="F219" s="411" t="str">
        <f>IF(D219="","",VLOOKUP(D219,'G-6 Hedgerow Data'!$B$2:$AG$15,2,FALSE))</f>
        <v>Medium</v>
      </c>
      <c r="G219" s="363">
        <f>IF(D219="","",VLOOKUP(D219,'G-6 Hedgerow Data'!$B$2:$AG$15,3,FALSE))</f>
        <v>4</v>
      </c>
      <c r="H219" s="114" t="s">
        <v>68</v>
      </c>
      <c r="I219" s="363">
        <f>IFERROR(VLOOKUP(H219,'G-1 All Habitats'!$Z$2:$AA$9,2,FALSE),"")</f>
        <v>3</v>
      </c>
      <c r="J219" s="114" t="s">
        <v>1037</v>
      </c>
      <c r="K219" s="370" t="str">
        <f>IF(J219="","",IF(VLOOKUP(J219,'G-3 Multipliers'!$L$3:$N$6,2,FALSE)=0,"Spatial Data Missing ⚠",VLOOKUP(J219,'G-3 Multipliers'!$L$3:$N$6,2,FALSE)))</f>
        <v>Low Strategic Significance</v>
      </c>
      <c r="L219" s="368">
        <f>IF(J219="","",IF(VLOOKUP(J219,'G-3 Multipliers'!$L$3:$N$6,3,FALSE)=0,"Spatial Data Missing ⚠",VLOOKUP(J219,'G-3 Multipliers'!$L$3:$N$6,3,FALSE)))</f>
        <v>1</v>
      </c>
      <c r="M219" s="369" t="str">
        <f>IF(D219="","",VLOOKUP(D219,'G-6 Hedgerow Data'!$B$1:$AH$15,33,FALSE))</f>
        <v>Same distinctiveness band or better</v>
      </c>
      <c r="N219" s="376">
        <f t="shared" si="23"/>
        <v>1.3980000000000001</v>
      </c>
      <c r="O219" s="32"/>
      <c r="P219" s="122">
        <v>0.1115</v>
      </c>
      <c r="Q219" s="165">
        <v>0</v>
      </c>
      <c r="R219" s="393">
        <f t="shared" si="24"/>
        <v>1.3380000000000001</v>
      </c>
      <c r="S219" s="393">
        <f t="shared" si="25"/>
        <v>0</v>
      </c>
      <c r="T219" s="393">
        <f t="shared" si="26"/>
        <v>5.0000000000000044E-3</v>
      </c>
      <c r="U219" s="415">
        <f t="shared" si="27"/>
        <v>6.0000000000000053E-2</v>
      </c>
      <c r="V219" s="119" t="s">
        <v>1976</v>
      </c>
      <c r="W219" s="120"/>
      <c r="X219" s="120"/>
      <c r="AE219" s="124" t="b">
        <f t="shared" si="21"/>
        <v>1</v>
      </c>
      <c r="AF219" s="124" t="b">
        <f t="shared" si="22"/>
        <v>0</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Hedgecond1</v>
      </c>
    </row>
    <row r="220" spans="2:38" ht="42.75" x14ac:dyDescent="0.2">
      <c r="B220" s="110">
        <v>211</v>
      </c>
      <c r="C220" s="165" t="s">
        <v>1897</v>
      </c>
      <c r="D220" s="165" t="s">
        <v>176</v>
      </c>
      <c r="E220" s="121">
        <v>0.114</v>
      </c>
      <c r="F220" s="411" t="str">
        <f>IF(D220="","",VLOOKUP(D220,'G-6 Hedgerow Data'!$B$2:$AG$15,2,FALSE))</f>
        <v>Low</v>
      </c>
      <c r="G220" s="363">
        <f>IF(D220="","",VLOOKUP(D220,'G-6 Hedgerow Data'!$B$2:$AG$15,3,FALSE))</f>
        <v>2</v>
      </c>
      <c r="H220" s="114" t="s">
        <v>67</v>
      </c>
      <c r="I220" s="363">
        <f>IFERROR(VLOOKUP(H220,'G-1 All Habitats'!$Z$2:$AA$9,2,FALSE),"")</f>
        <v>2</v>
      </c>
      <c r="J220" s="114" t="s">
        <v>1037</v>
      </c>
      <c r="K220" s="370" t="str">
        <f>IF(J220="","",IF(VLOOKUP(J220,'G-3 Multipliers'!$L$3:$N$6,2,FALSE)=0,"Spatial Data Missing ⚠",VLOOKUP(J220,'G-3 Multipliers'!$L$3:$N$6,2,FALSE)))</f>
        <v>Low Strategic Significance</v>
      </c>
      <c r="L220" s="368">
        <f>IF(J220="","",IF(VLOOKUP(J220,'G-3 Multipliers'!$L$3:$N$6,3,FALSE)=0,"Spatial Data Missing ⚠",VLOOKUP(J220,'G-3 Multipliers'!$L$3:$N$6,3,FALSE)))</f>
        <v>1</v>
      </c>
      <c r="M220" s="369" t="str">
        <f>IF(D220="","",VLOOKUP(D220,'G-6 Hedgerow Data'!$B$1:$AH$15,33,FALSE))</f>
        <v>Same distinctiveness band or better</v>
      </c>
      <c r="N220" s="376">
        <f t="shared" si="23"/>
        <v>0.45600000000000002</v>
      </c>
      <c r="O220" s="32"/>
      <c r="P220" s="122">
        <v>0.114</v>
      </c>
      <c r="Q220" s="165">
        <v>0</v>
      </c>
      <c r="R220" s="393">
        <f t="shared" si="24"/>
        <v>0.45600000000000002</v>
      </c>
      <c r="S220" s="393">
        <f t="shared" si="25"/>
        <v>0</v>
      </c>
      <c r="T220" s="393">
        <f t="shared" si="26"/>
        <v>0</v>
      </c>
      <c r="U220" s="415">
        <f t="shared" si="27"/>
        <v>0</v>
      </c>
      <c r="V220" s="119"/>
      <c r="W220" s="120"/>
      <c r="X220" s="120"/>
      <c r="AE220" s="124" t="b">
        <f t="shared" si="21"/>
        <v>1</v>
      </c>
      <c r="AF220" s="124" t="b">
        <f t="shared" si="22"/>
        <v>0</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Hedgecond1</v>
      </c>
    </row>
    <row r="221" spans="2:38" ht="42.75" x14ac:dyDescent="0.2">
      <c r="B221" s="110">
        <v>212</v>
      </c>
      <c r="C221" s="165" t="s">
        <v>1898</v>
      </c>
      <c r="D221" s="165" t="s">
        <v>176</v>
      </c>
      <c r="E221" s="121">
        <v>0.11119999999999999</v>
      </c>
      <c r="F221" s="411" t="str">
        <f>IF(D221="","",VLOOKUP(D221,'G-6 Hedgerow Data'!$B$2:$AG$15,2,FALSE))</f>
        <v>Low</v>
      </c>
      <c r="G221" s="363">
        <f>IF(D221="","",VLOOKUP(D221,'G-6 Hedgerow Data'!$B$2:$AG$15,3,FALSE))</f>
        <v>2</v>
      </c>
      <c r="H221" s="114" t="s">
        <v>67</v>
      </c>
      <c r="I221" s="363">
        <f>IFERROR(VLOOKUP(H221,'G-1 All Habitats'!$Z$2:$AA$9,2,FALSE),"")</f>
        <v>2</v>
      </c>
      <c r="J221" s="114" t="s">
        <v>1029</v>
      </c>
      <c r="K221" s="370" t="str">
        <f>IF(J221="","",IF(VLOOKUP(J221,'G-3 Multipliers'!$L$3:$N$6,2,FALSE)=0,"Spatial Data Missing ⚠",VLOOKUP(J221,'G-3 Multipliers'!$L$3:$N$6,2,FALSE)))</f>
        <v xml:space="preserve">High strategic significance </v>
      </c>
      <c r="L221" s="368">
        <f>IF(J221="","",IF(VLOOKUP(J221,'G-3 Multipliers'!$L$3:$N$6,3,FALSE)=0,"Spatial Data Missing ⚠",VLOOKUP(J221,'G-3 Multipliers'!$L$3:$N$6,3,FALSE)))</f>
        <v>1.1499999999999999</v>
      </c>
      <c r="M221" s="369" t="str">
        <f>IF(D221="","",VLOOKUP(D221,'G-6 Hedgerow Data'!$B$1:$AH$15,33,FALSE))</f>
        <v>Same distinctiveness band or better</v>
      </c>
      <c r="N221" s="376">
        <f t="shared" si="23"/>
        <v>0.51151999999999997</v>
      </c>
      <c r="O221" s="32"/>
      <c r="P221" s="122">
        <v>0.11119999999999999</v>
      </c>
      <c r="Q221" s="165">
        <v>0</v>
      </c>
      <c r="R221" s="393">
        <f t="shared" si="24"/>
        <v>0.51151999999999997</v>
      </c>
      <c r="S221" s="393">
        <f t="shared" si="25"/>
        <v>0</v>
      </c>
      <c r="T221" s="393">
        <f t="shared" si="26"/>
        <v>0</v>
      </c>
      <c r="U221" s="415">
        <f t="shared" si="27"/>
        <v>0</v>
      </c>
      <c r="V221" s="119"/>
      <c r="W221" s="120"/>
      <c r="X221" s="120"/>
      <c r="AE221" s="124" t="b">
        <f t="shared" si="21"/>
        <v>1</v>
      </c>
      <c r="AF221" s="124" t="b">
        <f t="shared" si="22"/>
        <v>0</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Hedgecond1</v>
      </c>
    </row>
    <row r="222" spans="2:38" ht="42.75" x14ac:dyDescent="0.2">
      <c r="B222" s="110">
        <v>213</v>
      </c>
      <c r="C222" s="165" t="s">
        <v>1899</v>
      </c>
      <c r="D222" s="165" t="s">
        <v>171</v>
      </c>
      <c r="E222" s="121">
        <v>0.26069999999999999</v>
      </c>
      <c r="F222" s="411" t="str">
        <f>IF(D222="","",VLOOKUP(D222,'G-6 Hedgerow Data'!$B$2:$AG$15,2,FALSE))</f>
        <v>Medium</v>
      </c>
      <c r="G222" s="363">
        <f>IF(D222="","",VLOOKUP(D222,'G-6 Hedgerow Data'!$B$2:$AG$15,3,FALSE))</f>
        <v>4</v>
      </c>
      <c r="H222" s="114" t="s">
        <v>68</v>
      </c>
      <c r="I222" s="363">
        <f>IFERROR(VLOOKUP(H222,'G-1 All Habitats'!$Z$2:$AA$9,2,FALSE),"")</f>
        <v>3</v>
      </c>
      <c r="J222" s="114" t="s">
        <v>1029</v>
      </c>
      <c r="K222" s="370" t="str">
        <f>IF(J222="","",IF(VLOOKUP(J222,'G-3 Multipliers'!$L$3:$N$6,2,FALSE)=0,"Spatial Data Missing ⚠",VLOOKUP(J222,'G-3 Multipliers'!$L$3:$N$6,2,FALSE)))</f>
        <v xml:space="preserve">High strategic significance </v>
      </c>
      <c r="L222" s="368">
        <f>IF(J222="","",IF(VLOOKUP(J222,'G-3 Multipliers'!$L$3:$N$6,3,FALSE)=0,"Spatial Data Missing ⚠",VLOOKUP(J222,'G-3 Multipliers'!$L$3:$N$6,3,FALSE)))</f>
        <v>1.1499999999999999</v>
      </c>
      <c r="M222" s="369" t="str">
        <f>IF(D222="","",VLOOKUP(D222,'G-6 Hedgerow Data'!$B$1:$AH$15,33,FALSE))</f>
        <v>Same distinctiveness band or better</v>
      </c>
      <c r="N222" s="376">
        <f t="shared" si="23"/>
        <v>3.5976599999999999</v>
      </c>
      <c r="O222" s="32"/>
      <c r="P222" s="122">
        <v>0</v>
      </c>
      <c r="Q222" s="165">
        <v>0.26069999999999999</v>
      </c>
      <c r="R222" s="393">
        <f t="shared" si="24"/>
        <v>0</v>
      </c>
      <c r="S222" s="393">
        <f t="shared" si="25"/>
        <v>3.5976599999999999</v>
      </c>
      <c r="T222" s="393">
        <f t="shared" si="26"/>
        <v>0</v>
      </c>
      <c r="U222" s="415">
        <f t="shared" si="27"/>
        <v>0</v>
      </c>
      <c r="V222" s="119"/>
      <c r="W222" s="120"/>
      <c r="X222" s="120"/>
      <c r="AE222" s="124" t="b">
        <f t="shared" si="21"/>
        <v>0</v>
      </c>
      <c r="AF222" s="124" t="b">
        <f t="shared" si="22"/>
        <v>1</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Hedgecond1</v>
      </c>
    </row>
    <row r="223" spans="2:38" ht="42.75" x14ac:dyDescent="0.2">
      <c r="B223" s="110">
        <v>214</v>
      </c>
      <c r="C223" s="165" t="s">
        <v>1900</v>
      </c>
      <c r="D223" s="165" t="s">
        <v>176</v>
      </c>
      <c r="E223" s="121">
        <v>4.0099999999999997E-2</v>
      </c>
      <c r="F223" s="411" t="str">
        <f>IF(D223="","",VLOOKUP(D223,'G-6 Hedgerow Data'!$B$2:$AG$15,2,FALSE))</f>
        <v>Low</v>
      </c>
      <c r="G223" s="363">
        <f>IF(D223="","",VLOOKUP(D223,'G-6 Hedgerow Data'!$B$2:$AG$15,3,FALSE))</f>
        <v>2</v>
      </c>
      <c r="H223" s="114" t="s">
        <v>67</v>
      </c>
      <c r="I223" s="363">
        <f>IFERROR(VLOOKUP(H223,'G-1 All Habitats'!$Z$2:$AA$9,2,FALSE),"")</f>
        <v>2</v>
      </c>
      <c r="J223" s="114" t="s">
        <v>1037</v>
      </c>
      <c r="K223" s="370" t="str">
        <f>IF(J223="","",IF(VLOOKUP(J223,'G-3 Multipliers'!$L$3:$N$6,2,FALSE)=0,"Spatial Data Missing ⚠",VLOOKUP(J223,'G-3 Multipliers'!$L$3:$N$6,2,FALSE)))</f>
        <v>Low Strategic Significance</v>
      </c>
      <c r="L223" s="368">
        <f>IF(J223="","",IF(VLOOKUP(J223,'G-3 Multipliers'!$L$3:$N$6,3,FALSE)=0,"Spatial Data Missing ⚠",VLOOKUP(J223,'G-3 Multipliers'!$L$3:$N$6,3,FALSE)))</f>
        <v>1</v>
      </c>
      <c r="M223" s="369" t="str">
        <f>IF(D223="","",VLOOKUP(D223,'G-6 Hedgerow Data'!$B$1:$AH$15,33,FALSE))</f>
        <v>Same distinctiveness band or better</v>
      </c>
      <c r="N223" s="376">
        <f t="shared" si="23"/>
        <v>0.16039999999999999</v>
      </c>
      <c r="O223" s="32"/>
      <c r="P223" s="122">
        <v>3.9399999999999998E-2</v>
      </c>
      <c r="Q223" s="165">
        <v>0</v>
      </c>
      <c r="R223" s="393">
        <f t="shared" si="24"/>
        <v>0.15759999999999999</v>
      </c>
      <c r="S223" s="393">
        <f t="shared" si="25"/>
        <v>0</v>
      </c>
      <c r="T223" s="393">
        <f t="shared" si="26"/>
        <v>6.9999999999999923E-4</v>
      </c>
      <c r="U223" s="415">
        <f t="shared" si="27"/>
        <v>2.7999999999999969E-3</v>
      </c>
      <c r="V223" s="119" t="s">
        <v>1977</v>
      </c>
      <c r="W223" s="120"/>
      <c r="X223" s="120"/>
      <c r="AE223" s="124" t="b">
        <f t="shared" si="21"/>
        <v>1</v>
      </c>
      <c r="AF223" s="124" t="b">
        <f t="shared" si="22"/>
        <v>0</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Hedgecond1</v>
      </c>
    </row>
    <row r="224" spans="2:38" ht="42.75" x14ac:dyDescent="0.2">
      <c r="B224" s="110">
        <v>215</v>
      </c>
      <c r="C224" s="165" t="s">
        <v>1901</v>
      </c>
      <c r="D224" s="165" t="s">
        <v>176</v>
      </c>
      <c r="E224" s="121">
        <v>0.18010000000000001</v>
      </c>
      <c r="F224" s="411" t="str">
        <f>IF(D224="","",VLOOKUP(D224,'G-6 Hedgerow Data'!$B$2:$AG$15,2,FALSE))</f>
        <v>Low</v>
      </c>
      <c r="G224" s="363">
        <f>IF(D224="","",VLOOKUP(D224,'G-6 Hedgerow Data'!$B$2:$AG$15,3,FALSE))</f>
        <v>2</v>
      </c>
      <c r="H224" s="114" t="s">
        <v>67</v>
      </c>
      <c r="I224" s="363">
        <f>IFERROR(VLOOKUP(H224,'G-1 All Habitats'!$Z$2:$AA$9,2,FALSE),"")</f>
        <v>2</v>
      </c>
      <c r="J224" s="114" t="s">
        <v>1029</v>
      </c>
      <c r="K224" s="370" t="str">
        <f>IF(J224="","",IF(VLOOKUP(J224,'G-3 Multipliers'!$L$3:$N$6,2,FALSE)=0,"Spatial Data Missing ⚠",VLOOKUP(J224,'G-3 Multipliers'!$L$3:$N$6,2,FALSE)))</f>
        <v xml:space="preserve">High strategic significance </v>
      </c>
      <c r="L224" s="368">
        <f>IF(J224="","",IF(VLOOKUP(J224,'G-3 Multipliers'!$L$3:$N$6,3,FALSE)=0,"Spatial Data Missing ⚠",VLOOKUP(J224,'G-3 Multipliers'!$L$3:$N$6,3,FALSE)))</f>
        <v>1.1499999999999999</v>
      </c>
      <c r="M224" s="369" t="str">
        <f>IF(D224="","",VLOOKUP(D224,'G-6 Hedgerow Data'!$B$1:$AH$15,33,FALSE))</f>
        <v>Same distinctiveness band or better</v>
      </c>
      <c r="N224" s="376">
        <f t="shared" si="23"/>
        <v>0.82845999999999997</v>
      </c>
      <c r="O224" s="32"/>
      <c r="P224" s="122">
        <v>0.18010000000000001</v>
      </c>
      <c r="Q224" s="165">
        <v>0</v>
      </c>
      <c r="R224" s="393">
        <f t="shared" si="24"/>
        <v>0.82845999999999997</v>
      </c>
      <c r="S224" s="393">
        <f t="shared" si="25"/>
        <v>0</v>
      </c>
      <c r="T224" s="393">
        <f t="shared" si="26"/>
        <v>0</v>
      </c>
      <c r="U224" s="415">
        <f t="shared" si="27"/>
        <v>0</v>
      </c>
      <c r="V224" s="119" t="s">
        <v>1977</v>
      </c>
      <c r="W224" s="120"/>
      <c r="X224" s="120"/>
      <c r="AE224" s="124" t="b">
        <f t="shared" si="21"/>
        <v>1</v>
      </c>
      <c r="AF224" s="124" t="b">
        <f t="shared" si="22"/>
        <v>0</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Hedgecond1</v>
      </c>
    </row>
    <row r="225" spans="2:38" ht="42.75" x14ac:dyDescent="0.2">
      <c r="B225" s="110">
        <v>216</v>
      </c>
      <c r="C225" s="165" t="s">
        <v>1902</v>
      </c>
      <c r="D225" s="165" t="s">
        <v>176</v>
      </c>
      <c r="E225" s="121">
        <v>9.9000000000000005E-2</v>
      </c>
      <c r="F225" s="411" t="str">
        <f>IF(D225="","",VLOOKUP(D225,'G-6 Hedgerow Data'!$B$2:$AG$15,2,FALSE))</f>
        <v>Low</v>
      </c>
      <c r="G225" s="363">
        <f>IF(D225="","",VLOOKUP(D225,'G-6 Hedgerow Data'!$B$2:$AG$15,3,FALSE))</f>
        <v>2</v>
      </c>
      <c r="H225" s="114" t="s">
        <v>67</v>
      </c>
      <c r="I225" s="363">
        <f>IFERROR(VLOOKUP(H225,'G-1 All Habitats'!$Z$2:$AA$9,2,FALSE),"")</f>
        <v>2</v>
      </c>
      <c r="J225" s="114" t="s">
        <v>1037</v>
      </c>
      <c r="K225" s="370" t="str">
        <f>IF(J225="","",IF(VLOOKUP(J225,'G-3 Multipliers'!$L$3:$N$6,2,FALSE)=0,"Spatial Data Missing ⚠",VLOOKUP(J225,'G-3 Multipliers'!$L$3:$N$6,2,FALSE)))</f>
        <v>Low Strategic Significance</v>
      </c>
      <c r="L225" s="368">
        <f>IF(J225="","",IF(VLOOKUP(J225,'G-3 Multipliers'!$L$3:$N$6,3,FALSE)=0,"Spatial Data Missing ⚠",VLOOKUP(J225,'G-3 Multipliers'!$L$3:$N$6,3,FALSE)))</f>
        <v>1</v>
      </c>
      <c r="M225" s="369" t="str">
        <f>IF(D225="","",VLOOKUP(D225,'G-6 Hedgerow Data'!$B$1:$AH$15,33,FALSE))</f>
        <v>Same distinctiveness band or better</v>
      </c>
      <c r="N225" s="376">
        <f t="shared" si="23"/>
        <v>0.39600000000000002</v>
      </c>
      <c r="O225" s="32"/>
      <c r="P225" s="122">
        <v>9.2499999999999999E-2</v>
      </c>
      <c r="Q225" s="165">
        <v>0</v>
      </c>
      <c r="R225" s="393">
        <f t="shared" si="24"/>
        <v>0.37</v>
      </c>
      <c r="S225" s="393">
        <f t="shared" si="25"/>
        <v>0</v>
      </c>
      <c r="T225" s="393">
        <f t="shared" si="26"/>
        <v>6.5000000000000058E-3</v>
      </c>
      <c r="U225" s="415">
        <f t="shared" si="27"/>
        <v>2.6000000000000023E-2</v>
      </c>
      <c r="V225" s="119" t="s">
        <v>1954</v>
      </c>
      <c r="W225" s="120"/>
      <c r="X225" s="120"/>
      <c r="AE225" s="124" t="b">
        <f t="shared" si="21"/>
        <v>1</v>
      </c>
      <c r="AF225" s="124" t="b">
        <f t="shared" si="22"/>
        <v>0</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Hedgecond1</v>
      </c>
    </row>
    <row r="226" spans="2:38" ht="42.75" x14ac:dyDescent="0.2">
      <c r="B226" s="110">
        <v>217</v>
      </c>
      <c r="C226" s="165" t="s">
        <v>1903</v>
      </c>
      <c r="D226" s="165" t="s">
        <v>176</v>
      </c>
      <c r="E226" s="121">
        <v>0.42430000000000001</v>
      </c>
      <c r="F226" s="411" t="str">
        <f>IF(D226="","",VLOOKUP(D226,'G-6 Hedgerow Data'!$B$2:$AG$15,2,FALSE))</f>
        <v>Low</v>
      </c>
      <c r="G226" s="363">
        <f>IF(D226="","",VLOOKUP(D226,'G-6 Hedgerow Data'!$B$2:$AG$15,3,FALSE))</f>
        <v>2</v>
      </c>
      <c r="H226" s="114" t="s">
        <v>67</v>
      </c>
      <c r="I226" s="363">
        <f>IFERROR(VLOOKUP(H226,'G-1 All Habitats'!$Z$2:$AA$9,2,FALSE),"")</f>
        <v>2</v>
      </c>
      <c r="J226" s="114" t="s">
        <v>1037</v>
      </c>
      <c r="K226" s="370" t="str">
        <f>IF(J226="","",IF(VLOOKUP(J226,'G-3 Multipliers'!$L$3:$N$6,2,FALSE)=0,"Spatial Data Missing ⚠",VLOOKUP(J226,'G-3 Multipliers'!$L$3:$N$6,2,FALSE)))</f>
        <v>Low Strategic Significance</v>
      </c>
      <c r="L226" s="368">
        <f>IF(J226="","",IF(VLOOKUP(J226,'G-3 Multipliers'!$L$3:$N$6,3,FALSE)=0,"Spatial Data Missing ⚠",VLOOKUP(J226,'G-3 Multipliers'!$L$3:$N$6,3,FALSE)))</f>
        <v>1</v>
      </c>
      <c r="M226" s="369" t="str">
        <f>IF(D226="","",VLOOKUP(D226,'G-6 Hedgerow Data'!$B$1:$AH$15,33,FALSE))</f>
        <v>Same distinctiveness band or better</v>
      </c>
      <c r="N226" s="376">
        <f t="shared" si="23"/>
        <v>1.6972</v>
      </c>
      <c r="O226" s="32"/>
      <c r="P226" s="122">
        <v>0</v>
      </c>
      <c r="Q226" s="165">
        <v>0.42430000000000001</v>
      </c>
      <c r="R226" s="393">
        <f t="shared" si="24"/>
        <v>0</v>
      </c>
      <c r="S226" s="393">
        <f t="shared" si="25"/>
        <v>1.6972</v>
      </c>
      <c r="T226" s="393">
        <f t="shared" si="26"/>
        <v>0</v>
      </c>
      <c r="U226" s="415">
        <f t="shared" si="27"/>
        <v>0</v>
      </c>
      <c r="V226" s="119"/>
      <c r="W226" s="120"/>
      <c r="X226" s="120"/>
      <c r="AE226" s="124" t="b">
        <f t="shared" si="21"/>
        <v>0</v>
      </c>
      <c r="AF226" s="124" t="b">
        <f t="shared" si="22"/>
        <v>1</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Hedgecond1</v>
      </c>
    </row>
    <row r="227" spans="2:38" ht="42.75" x14ac:dyDescent="0.2">
      <c r="B227" s="110">
        <v>218</v>
      </c>
      <c r="C227" s="165" t="s">
        <v>1904</v>
      </c>
      <c r="D227" s="165" t="s">
        <v>176</v>
      </c>
      <c r="E227" s="121">
        <v>0.2702</v>
      </c>
      <c r="F227" s="411" t="str">
        <f>IF(D227="","",VLOOKUP(D227,'G-6 Hedgerow Data'!$B$2:$AG$15,2,FALSE))</f>
        <v>Low</v>
      </c>
      <c r="G227" s="363">
        <f>IF(D227="","",VLOOKUP(D227,'G-6 Hedgerow Data'!$B$2:$AG$15,3,FALSE))</f>
        <v>2</v>
      </c>
      <c r="H227" s="114" t="s">
        <v>67</v>
      </c>
      <c r="I227" s="363">
        <f>IFERROR(VLOOKUP(H227,'G-1 All Habitats'!$Z$2:$AA$9,2,FALSE),"")</f>
        <v>2</v>
      </c>
      <c r="J227" s="114" t="s">
        <v>1029</v>
      </c>
      <c r="K227" s="370" t="str">
        <f>IF(J227="","",IF(VLOOKUP(J227,'G-3 Multipliers'!$L$3:$N$6,2,FALSE)=0,"Spatial Data Missing ⚠",VLOOKUP(J227,'G-3 Multipliers'!$L$3:$N$6,2,FALSE)))</f>
        <v xml:space="preserve">High strategic significance </v>
      </c>
      <c r="L227" s="368">
        <f>IF(J227="","",IF(VLOOKUP(J227,'G-3 Multipliers'!$L$3:$N$6,3,FALSE)=0,"Spatial Data Missing ⚠",VLOOKUP(J227,'G-3 Multipliers'!$L$3:$N$6,3,FALSE)))</f>
        <v>1.1499999999999999</v>
      </c>
      <c r="M227" s="369" t="str">
        <f>IF(D227="","",VLOOKUP(D227,'G-6 Hedgerow Data'!$B$1:$AH$15,33,FALSE))</f>
        <v>Same distinctiveness band or better</v>
      </c>
      <c r="N227" s="376">
        <f t="shared" si="23"/>
        <v>1.2429199999999998</v>
      </c>
      <c r="O227" s="32"/>
      <c r="P227" s="122">
        <v>0</v>
      </c>
      <c r="Q227" s="165">
        <v>0.2702</v>
      </c>
      <c r="R227" s="393">
        <f t="shared" si="24"/>
        <v>0</v>
      </c>
      <c r="S227" s="393">
        <f t="shared" si="25"/>
        <v>1.2429199999999998</v>
      </c>
      <c r="T227" s="393">
        <f t="shared" si="26"/>
        <v>0</v>
      </c>
      <c r="U227" s="415">
        <f t="shared" si="27"/>
        <v>0</v>
      </c>
      <c r="V227" s="119"/>
      <c r="W227" s="120"/>
      <c r="X227" s="120"/>
      <c r="AE227" s="124" t="b">
        <f t="shared" si="21"/>
        <v>0</v>
      </c>
      <c r="AF227" s="124" t="b">
        <f t="shared" si="22"/>
        <v>1</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Hedgecond1</v>
      </c>
    </row>
    <row r="228" spans="2:38" ht="42.75" x14ac:dyDescent="0.2">
      <c r="B228" s="110">
        <v>219</v>
      </c>
      <c r="C228" s="165" t="s">
        <v>1905</v>
      </c>
      <c r="D228" s="165" t="s">
        <v>171</v>
      </c>
      <c r="E228" s="121">
        <v>0.1099</v>
      </c>
      <c r="F228" s="411" t="str">
        <f>IF(D228="","",VLOOKUP(D228,'G-6 Hedgerow Data'!$B$2:$AG$15,2,FALSE))</f>
        <v>Medium</v>
      </c>
      <c r="G228" s="363">
        <f>IF(D228="","",VLOOKUP(D228,'G-6 Hedgerow Data'!$B$2:$AG$15,3,FALSE))</f>
        <v>4</v>
      </c>
      <c r="H228" s="114" t="s">
        <v>67</v>
      </c>
      <c r="I228" s="363">
        <f>IFERROR(VLOOKUP(H228,'G-1 All Habitats'!$Z$2:$AA$9,2,FALSE),"")</f>
        <v>2</v>
      </c>
      <c r="J228" s="114" t="s">
        <v>1037</v>
      </c>
      <c r="K228" s="370" t="str">
        <f>IF(J228="","",IF(VLOOKUP(J228,'G-3 Multipliers'!$L$3:$N$6,2,FALSE)=0,"Spatial Data Missing ⚠",VLOOKUP(J228,'G-3 Multipliers'!$L$3:$N$6,2,FALSE)))</f>
        <v>Low Strategic Significance</v>
      </c>
      <c r="L228" s="368">
        <f>IF(J228="","",IF(VLOOKUP(J228,'G-3 Multipliers'!$L$3:$N$6,3,FALSE)=0,"Spatial Data Missing ⚠",VLOOKUP(J228,'G-3 Multipliers'!$L$3:$N$6,3,FALSE)))</f>
        <v>1</v>
      </c>
      <c r="M228" s="369" t="str">
        <f>IF(D228="","",VLOOKUP(D228,'G-6 Hedgerow Data'!$B$1:$AH$15,33,FALSE))</f>
        <v>Same distinctiveness band or better</v>
      </c>
      <c r="N228" s="376">
        <f t="shared" si="23"/>
        <v>0.87919999999999998</v>
      </c>
      <c r="O228" s="32"/>
      <c r="P228" s="122">
        <v>0.1099</v>
      </c>
      <c r="Q228" s="165">
        <v>0</v>
      </c>
      <c r="R228" s="393">
        <f t="shared" si="24"/>
        <v>0.87919999999999998</v>
      </c>
      <c r="S228" s="393">
        <f t="shared" si="25"/>
        <v>0</v>
      </c>
      <c r="T228" s="393">
        <f t="shared" si="26"/>
        <v>0</v>
      </c>
      <c r="U228" s="415">
        <f t="shared" si="27"/>
        <v>0</v>
      </c>
      <c r="V228" s="119"/>
      <c r="W228" s="120"/>
      <c r="X228" s="120"/>
      <c r="AE228" s="124" t="b">
        <f t="shared" si="21"/>
        <v>1</v>
      </c>
      <c r="AF228" s="124" t="b">
        <f t="shared" si="22"/>
        <v>0</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Hedgecond1</v>
      </c>
    </row>
    <row r="229" spans="2:38" ht="42.75" x14ac:dyDescent="0.2">
      <c r="B229" s="110">
        <v>220</v>
      </c>
      <c r="C229" s="165" t="s">
        <v>1906</v>
      </c>
      <c r="D229" s="165" t="s">
        <v>171</v>
      </c>
      <c r="E229" s="121">
        <v>5.3800000000000001E-2</v>
      </c>
      <c r="F229" s="411" t="str">
        <f>IF(D229="","",VLOOKUP(D229,'G-6 Hedgerow Data'!$B$2:$AG$15,2,FALSE))</f>
        <v>Medium</v>
      </c>
      <c r="G229" s="363">
        <f>IF(D229="","",VLOOKUP(D229,'G-6 Hedgerow Data'!$B$2:$AG$15,3,FALSE))</f>
        <v>4</v>
      </c>
      <c r="H229" s="114" t="s">
        <v>67</v>
      </c>
      <c r="I229" s="363">
        <f>IFERROR(VLOOKUP(H229,'G-1 All Habitats'!$Z$2:$AA$9,2,FALSE),"")</f>
        <v>2</v>
      </c>
      <c r="J229" s="114" t="s">
        <v>1029</v>
      </c>
      <c r="K229" s="370" t="str">
        <f>IF(J229="","",IF(VLOOKUP(J229,'G-3 Multipliers'!$L$3:$N$6,2,FALSE)=0,"Spatial Data Missing ⚠",VLOOKUP(J229,'G-3 Multipliers'!$L$3:$N$6,2,FALSE)))</f>
        <v xml:space="preserve">High strategic significance </v>
      </c>
      <c r="L229" s="368">
        <f>IF(J229="","",IF(VLOOKUP(J229,'G-3 Multipliers'!$L$3:$N$6,3,FALSE)=0,"Spatial Data Missing ⚠",VLOOKUP(J229,'G-3 Multipliers'!$L$3:$N$6,3,FALSE)))</f>
        <v>1.1499999999999999</v>
      </c>
      <c r="M229" s="369" t="str">
        <f>IF(D229="","",VLOOKUP(D229,'G-6 Hedgerow Data'!$B$1:$AH$15,33,FALSE))</f>
        <v>Same distinctiveness band or better</v>
      </c>
      <c r="N229" s="376">
        <f t="shared" si="23"/>
        <v>0.49495999999999996</v>
      </c>
      <c r="O229" s="32"/>
      <c r="P229" s="122">
        <v>5.3800000000000001E-2</v>
      </c>
      <c r="Q229" s="165">
        <v>0</v>
      </c>
      <c r="R229" s="393">
        <f t="shared" si="24"/>
        <v>0.49495999999999996</v>
      </c>
      <c r="S229" s="393">
        <f t="shared" si="25"/>
        <v>0</v>
      </c>
      <c r="T229" s="393">
        <f t="shared" si="26"/>
        <v>0</v>
      </c>
      <c r="U229" s="415">
        <f t="shared" si="27"/>
        <v>0</v>
      </c>
      <c r="V229" s="119"/>
      <c r="W229" s="120"/>
      <c r="X229" s="120"/>
      <c r="AE229" s="124" t="b">
        <f t="shared" si="21"/>
        <v>1</v>
      </c>
      <c r="AF229" s="124" t="b">
        <f t="shared" si="22"/>
        <v>0</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Hedgecond1</v>
      </c>
    </row>
    <row r="230" spans="2:38" ht="42.75" x14ac:dyDescent="0.2">
      <c r="B230" s="110">
        <v>221</v>
      </c>
      <c r="C230" s="165" t="s">
        <v>1907</v>
      </c>
      <c r="D230" s="165" t="s">
        <v>171</v>
      </c>
      <c r="E230" s="121">
        <v>0.18609999999999999</v>
      </c>
      <c r="F230" s="411" t="str">
        <f>IF(D230="","",VLOOKUP(D230,'G-6 Hedgerow Data'!$B$2:$AG$15,2,FALSE))</f>
        <v>Medium</v>
      </c>
      <c r="G230" s="363">
        <f>IF(D230="","",VLOOKUP(D230,'G-6 Hedgerow Data'!$B$2:$AG$15,3,FALSE))</f>
        <v>4</v>
      </c>
      <c r="H230" s="114" t="s">
        <v>68</v>
      </c>
      <c r="I230" s="363">
        <f>IFERROR(VLOOKUP(H230,'G-1 All Habitats'!$Z$2:$AA$9,2,FALSE),"")</f>
        <v>3</v>
      </c>
      <c r="J230" s="114" t="s">
        <v>1037</v>
      </c>
      <c r="K230" s="370" t="str">
        <f>IF(J230="","",IF(VLOOKUP(J230,'G-3 Multipliers'!$L$3:$N$6,2,FALSE)=0,"Spatial Data Missing ⚠",VLOOKUP(J230,'G-3 Multipliers'!$L$3:$N$6,2,FALSE)))</f>
        <v>Low Strategic Significance</v>
      </c>
      <c r="L230" s="368">
        <f>IF(J230="","",IF(VLOOKUP(J230,'G-3 Multipliers'!$L$3:$N$6,3,FALSE)=0,"Spatial Data Missing ⚠",VLOOKUP(J230,'G-3 Multipliers'!$L$3:$N$6,3,FALSE)))</f>
        <v>1</v>
      </c>
      <c r="M230" s="369" t="str">
        <f>IF(D230="","",VLOOKUP(D230,'G-6 Hedgerow Data'!$B$1:$AH$15,33,FALSE))</f>
        <v>Same distinctiveness band or better</v>
      </c>
      <c r="N230" s="376">
        <f t="shared" si="23"/>
        <v>2.2332000000000001</v>
      </c>
      <c r="O230" s="32"/>
      <c r="P230" s="122">
        <v>0.18609999999999999</v>
      </c>
      <c r="Q230" s="165">
        <v>0</v>
      </c>
      <c r="R230" s="393">
        <f t="shared" si="24"/>
        <v>2.2332000000000001</v>
      </c>
      <c r="S230" s="393">
        <f t="shared" si="25"/>
        <v>0</v>
      </c>
      <c r="T230" s="393">
        <f t="shared" si="26"/>
        <v>0</v>
      </c>
      <c r="U230" s="415">
        <f t="shared" si="27"/>
        <v>0</v>
      </c>
      <c r="V230" s="119"/>
      <c r="W230" s="120"/>
      <c r="X230" s="120"/>
      <c r="AE230" s="124" t="b">
        <f t="shared" si="21"/>
        <v>1</v>
      </c>
      <c r="AF230" s="124" t="b">
        <f t="shared" si="22"/>
        <v>0</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Hedgecond1</v>
      </c>
    </row>
    <row r="231" spans="2:38" ht="42.75" x14ac:dyDescent="0.2">
      <c r="B231" s="110">
        <v>222</v>
      </c>
      <c r="C231" s="165" t="s">
        <v>1908</v>
      </c>
      <c r="D231" s="165" t="s">
        <v>171</v>
      </c>
      <c r="E231" s="121">
        <v>1.24E-2</v>
      </c>
      <c r="F231" s="411" t="str">
        <f>IF(D231="","",VLOOKUP(D231,'G-6 Hedgerow Data'!$B$2:$AG$15,2,FALSE))</f>
        <v>Medium</v>
      </c>
      <c r="G231" s="363">
        <f>IF(D231="","",VLOOKUP(D231,'G-6 Hedgerow Data'!$B$2:$AG$15,3,FALSE))</f>
        <v>4</v>
      </c>
      <c r="H231" s="114" t="s">
        <v>68</v>
      </c>
      <c r="I231" s="363">
        <f>IFERROR(VLOOKUP(H231,'G-1 All Habitats'!$Z$2:$AA$9,2,FALSE),"")</f>
        <v>3</v>
      </c>
      <c r="J231" s="114" t="s">
        <v>1029</v>
      </c>
      <c r="K231" s="370" t="str">
        <f>IF(J231="","",IF(VLOOKUP(J231,'G-3 Multipliers'!$L$3:$N$6,2,FALSE)=0,"Spatial Data Missing ⚠",VLOOKUP(J231,'G-3 Multipliers'!$L$3:$N$6,2,FALSE)))</f>
        <v xml:space="preserve">High strategic significance </v>
      </c>
      <c r="L231" s="368">
        <f>IF(J231="","",IF(VLOOKUP(J231,'G-3 Multipliers'!$L$3:$N$6,3,FALSE)=0,"Spatial Data Missing ⚠",VLOOKUP(J231,'G-3 Multipliers'!$L$3:$N$6,3,FALSE)))</f>
        <v>1.1499999999999999</v>
      </c>
      <c r="M231" s="369" t="str">
        <f>IF(D231="","",VLOOKUP(D231,'G-6 Hedgerow Data'!$B$1:$AH$15,33,FALSE))</f>
        <v>Same distinctiveness band or better</v>
      </c>
      <c r="N231" s="376">
        <f t="shared" si="23"/>
        <v>0.17111999999999997</v>
      </c>
      <c r="O231" s="32"/>
      <c r="P231" s="122">
        <v>1.24E-2</v>
      </c>
      <c r="Q231" s="165">
        <v>0</v>
      </c>
      <c r="R231" s="393">
        <f t="shared" si="24"/>
        <v>0.17111999999999997</v>
      </c>
      <c r="S231" s="393">
        <f t="shared" si="25"/>
        <v>0</v>
      </c>
      <c r="T231" s="393">
        <f t="shared" si="26"/>
        <v>0</v>
      </c>
      <c r="U231" s="415">
        <f t="shared" si="27"/>
        <v>0</v>
      </c>
      <c r="V231" s="119"/>
      <c r="W231" s="120"/>
      <c r="X231" s="120"/>
      <c r="AE231" s="124" t="b">
        <f t="shared" si="21"/>
        <v>1</v>
      </c>
      <c r="AF231" s="124" t="b">
        <f t="shared" si="22"/>
        <v>0</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Hedgecond1</v>
      </c>
    </row>
    <row r="232" spans="2:38" ht="42.75" x14ac:dyDescent="0.2">
      <c r="B232" s="110">
        <v>223</v>
      </c>
      <c r="C232" s="165" t="s">
        <v>1909</v>
      </c>
      <c r="D232" s="165" t="s">
        <v>176</v>
      </c>
      <c r="E232" s="121">
        <v>4.1000000000000002E-2</v>
      </c>
      <c r="F232" s="411" t="str">
        <f>IF(D232="","",VLOOKUP(D232,'G-6 Hedgerow Data'!$B$2:$AG$15,2,FALSE))</f>
        <v>Low</v>
      </c>
      <c r="G232" s="363">
        <f>IF(D232="","",VLOOKUP(D232,'G-6 Hedgerow Data'!$B$2:$AG$15,3,FALSE))</f>
        <v>2</v>
      </c>
      <c r="H232" s="114" t="s">
        <v>329</v>
      </c>
      <c r="I232" s="363">
        <f>IFERROR(VLOOKUP(H232,'G-1 All Habitats'!$Z$2:$AA$9,2,FALSE),"")</f>
        <v>1</v>
      </c>
      <c r="J232" s="114" t="s">
        <v>1037</v>
      </c>
      <c r="K232" s="370" t="str">
        <f>IF(J232="","",IF(VLOOKUP(J232,'G-3 Multipliers'!$L$3:$N$6,2,FALSE)=0,"Spatial Data Missing ⚠",VLOOKUP(J232,'G-3 Multipliers'!$L$3:$N$6,2,FALSE)))</f>
        <v>Low Strategic Significance</v>
      </c>
      <c r="L232" s="368">
        <f>IF(J232="","",IF(VLOOKUP(J232,'G-3 Multipliers'!$L$3:$N$6,3,FALSE)=0,"Spatial Data Missing ⚠",VLOOKUP(J232,'G-3 Multipliers'!$L$3:$N$6,3,FALSE)))</f>
        <v>1</v>
      </c>
      <c r="M232" s="369" t="str">
        <f>IF(D232="","",VLOOKUP(D232,'G-6 Hedgerow Data'!$B$1:$AH$15,33,FALSE))</f>
        <v>Same distinctiveness band or better</v>
      </c>
      <c r="N232" s="376">
        <f t="shared" si="23"/>
        <v>8.2000000000000003E-2</v>
      </c>
      <c r="O232" s="32"/>
      <c r="P232" s="122">
        <v>0</v>
      </c>
      <c r="Q232" s="165">
        <v>4.1000000000000002E-2</v>
      </c>
      <c r="R232" s="393">
        <f t="shared" si="24"/>
        <v>0</v>
      </c>
      <c r="S232" s="393">
        <f t="shared" si="25"/>
        <v>8.2000000000000003E-2</v>
      </c>
      <c r="T232" s="393">
        <f t="shared" si="26"/>
        <v>0</v>
      </c>
      <c r="U232" s="415">
        <f t="shared" si="27"/>
        <v>0</v>
      </c>
      <c r="V232" s="119"/>
      <c r="W232" s="120"/>
      <c r="X232" s="120"/>
      <c r="AE232" s="124" t="b">
        <f t="shared" si="21"/>
        <v>0</v>
      </c>
      <c r="AF232" s="124" t="b">
        <f t="shared" si="22"/>
        <v>1</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Hedgecond1</v>
      </c>
    </row>
    <row r="233" spans="2:38" ht="42.75" x14ac:dyDescent="0.2">
      <c r="B233" s="110">
        <v>224</v>
      </c>
      <c r="C233" s="165" t="s">
        <v>1910</v>
      </c>
      <c r="D233" s="165" t="s">
        <v>176</v>
      </c>
      <c r="E233" s="121">
        <v>0.23</v>
      </c>
      <c r="F233" s="411" t="str">
        <f>IF(D233="","",VLOOKUP(D233,'G-6 Hedgerow Data'!$B$2:$AG$15,2,FALSE))</f>
        <v>Low</v>
      </c>
      <c r="G233" s="363">
        <f>IF(D233="","",VLOOKUP(D233,'G-6 Hedgerow Data'!$B$2:$AG$15,3,FALSE))</f>
        <v>2</v>
      </c>
      <c r="H233" s="114" t="s">
        <v>329</v>
      </c>
      <c r="I233" s="363">
        <f>IFERROR(VLOOKUP(H233,'G-1 All Habitats'!$Z$2:$AA$9,2,FALSE),"")</f>
        <v>1</v>
      </c>
      <c r="J233" s="114" t="s">
        <v>1037</v>
      </c>
      <c r="K233" s="370" t="str">
        <f>IF(J233="","",IF(VLOOKUP(J233,'G-3 Multipliers'!$L$3:$N$6,2,FALSE)=0,"Spatial Data Missing ⚠",VLOOKUP(J233,'G-3 Multipliers'!$L$3:$N$6,2,FALSE)))</f>
        <v>Low Strategic Significance</v>
      </c>
      <c r="L233" s="368">
        <f>IF(J233="","",IF(VLOOKUP(J233,'G-3 Multipliers'!$L$3:$N$6,3,FALSE)=0,"Spatial Data Missing ⚠",VLOOKUP(J233,'G-3 Multipliers'!$L$3:$N$6,3,FALSE)))</f>
        <v>1</v>
      </c>
      <c r="M233" s="369" t="str">
        <f>IF(D233="","",VLOOKUP(D233,'G-6 Hedgerow Data'!$B$1:$AH$15,33,FALSE))</f>
        <v>Same distinctiveness band or better</v>
      </c>
      <c r="N233" s="376">
        <f t="shared" si="23"/>
        <v>0.46</v>
      </c>
      <c r="O233" s="32"/>
      <c r="P233" s="122">
        <v>0.1857</v>
      </c>
      <c r="Q233" s="165">
        <v>4.4299999999999999E-2</v>
      </c>
      <c r="R233" s="393">
        <f t="shared" si="24"/>
        <v>0.37140000000000001</v>
      </c>
      <c r="S233" s="393">
        <f t="shared" si="25"/>
        <v>8.8599999999999998E-2</v>
      </c>
      <c r="T233" s="393">
        <f t="shared" si="26"/>
        <v>6.9388939039072284E-18</v>
      </c>
      <c r="U233" s="415">
        <f t="shared" si="27"/>
        <v>1.3877787807814457E-17</v>
      </c>
      <c r="V233" s="119"/>
      <c r="W233" s="120"/>
      <c r="X233" s="120"/>
      <c r="AE233" s="124" t="b">
        <f t="shared" si="21"/>
        <v>1</v>
      </c>
      <c r="AF233" s="124" t="b">
        <f t="shared" si="22"/>
        <v>1</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Hedgecond1</v>
      </c>
    </row>
    <row r="234" spans="2:38" ht="42.75" x14ac:dyDescent="0.2">
      <c r="B234" s="110">
        <v>225</v>
      </c>
      <c r="C234" s="165" t="s">
        <v>1911</v>
      </c>
      <c r="D234" s="165" t="s">
        <v>171</v>
      </c>
      <c r="E234" s="121">
        <v>0.39419999999999999</v>
      </c>
      <c r="F234" s="411" t="str">
        <f>IF(D234="","",VLOOKUP(D234,'G-6 Hedgerow Data'!$B$2:$AG$15,2,FALSE))</f>
        <v>Medium</v>
      </c>
      <c r="G234" s="363">
        <f>IF(D234="","",VLOOKUP(D234,'G-6 Hedgerow Data'!$B$2:$AG$15,3,FALSE))</f>
        <v>4</v>
      </c>
      <c r="H234" s="114" t="s">
        <v>68</v>
      </c>
      <c r="I234" s="363">
        <f>IFERROR(VLOOKUP(H234,'G-1 All Habitats'!$Z$2:$AA$9,2,FALSE),"")</f>
        <v>3</v>
      </c>
      <c r="J234" s="114" t="s">
        <v>1037</v>
      </c>
      <c r="K234" s="370" t="str">
        <f>IF(J234="","",IF(VLOOKUP(J234,'G-3 Multipliers'!$L$3:$N$6,2,FALSE)=0,"Spatial Data Missing ⚠",VLOOKUP(J234,'G-3 Multipliers'!$L$3:$N$6,2,FALSE)))</f>
        <v>Low Strategic Significance</v>
      </c>
      <c r="L234" s="368">
        <f>IF(J234="","",IF(VLOOKUP(J234,'G-3 Multipliers'!$L$3:$N$6,3,FALSE)=0,"Spatial Data Missing ⚠",VLOOKUP(J234,'G-3 Multipliers'!$L$3:$N$6,3,FALSE)))</f>
        <v>1</v>
      </c>
      <c r="M234" s="369" t="str">
        <f>IF(D234="","",VLOOKUP(D234,'G-6 Hedgerow Data'!$B$1:$AH$15,33,FALSE))</f>
        <v>Same distinctiveness band or better</v>
      </c>
      <c r="N234" s="376">
        <f t="shared" si="23"/>
        <v>4.7303999999999995</v>
      </c>
      <c r="O234" s="32"/>
      <c r="P234" s="122">
        <v>5.3100000000000001E-2</v>
      </c>
      <c r="Q234" s="165">
        <v>0.34110000000000001</v>
      </c>
      <c r="R234" s="393">
        <f t="shared" si="24"/>
        <v>0.63719999999999999</v>
      </c>
      <c r="S234" s="393">
        <f t="shared" si="25"/>
        <v>4.0932000000000004</v>
      </c>
      <c r="T234" s="393">
        <f t="shared" si="26"/>
        <v>0</v>
      </c>
      <c r="U234" s="415">
        <f t="shared" si="27"/>
        <v>-8.8817841970012523E-16</v>
      </c>
      <c r="V234" s="119"/>
      <c r="W234" s="120"/>
      <c r="X234" s="120"/>
      <c r="AE234" s="124" t="b">
        <f t="shared" si="21"/>
        <v>1</v>
      </c>
      <c r="AF234" s="124" t="b">
        <f t="shared" si="22"/>
        <v>1</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Hedgecond1</v>
      </c>
    </row>
    <row r="235" spans="2:38" ht="42.75" x14ac:dyDescent="0.2">
      <c r="B235" s="110">
        <v>226</v>
      </c>
      <c r="C235" s="165" t="s">
        <v>1912</v>
      </c>
      <c r="D235" s="165" t="s">
        <v>171</v>
      </c>
      <c r="E235" s="121">
        <v>0.1104</v>
      </c>
      <c r="F235" s="411" t="str">
        <f>IF(D235="","",VLOOKUP(D235,'G-6 Hedgerow Data'!$B$2:$AG$15,2,FALSE))</f>
        <v>Medium</v>
      </c>
      <c r="G235" s="363">
        <f>IF(D235="","",VLOOKUP(D235,'G-6 Hedgerow Data'!$B$2:$AG$15,3,FALSE))</f>
        <v>4</v>
      </c>
      <c r="H235" s="114" t="s">
        <v>68</v>
      </c>
      <c r="I235" s="363">
        <f>IFERROR(VLOOKUP(H235,'G-1 All Habitats'!$Z$2:$AA$9,2,FALSE),"")</f>
        <v>3</v>
      </c>
      <c r="J235" s="114" t="s">
        <v>1029</v>
      </c>
      <c r="K235" s="370" t="str">
        <f>IF(J235="","",IF(VLOOKUP(J235,'G-3 Multipliers'!$L$3:$N$6,2,FALSE)=0,"Spatial Data Missing ⚠",VLOOKUP(J235,'G-3 Multipliers'!$L$3:$N$6,2,FALSE)))</f>
        <v xml:space="preserve">High strategic significance </v>
      </c>
      <c r="L235" s="368">
        <f>IF(J235="","",IF(VLOOKUP(J235,'G-3 Multipliers'!$L$3:$N$6,3,FALSE)=0,"Spatial Data Missing ⚠",VLOOKUP(J235,'G-3 Multipliers'!$L$3:$N$6,3,FALSE)))</f>
        <v>1.1499999999999999</v>
      </c>
      <c r="M235" s="369" t="str">
        <f>IF(D235="","",VLOOKUP(D235,'G-6 Hedgerow Data'!$B$1:$AH$15,33,FALSE))</f>
        <v>Same distinctiveness band or better</v>
      </c>
      <c r="N235" s="376">
        <f t="shared" si="23"/>
        <v>1.5235199999999998</v>
      </c>
      <c r="O235" s="32"/>
      <c r="P235" s="122">
        <v>5.5899999999999998E-2</v>
      </c>
      <c r="Q235" s="165">
        <v>5.45E-2</v>
      </c>
      <c r="R235" s="393">
        <f t="shared" si="24"/>
        <v>0.77141999999999988</v>
      </c>
      <c r="S235" s="393">
        <f t="shared" si="25"/>
        <v>0.75209999999999999</v>
      </c>
      <c r="T235" s="393">
        <f t="shared" si="26"/>
        <v>0</v>
      </c>
      <c r="U235" s="415">
        <f t="shared" si="27"/>
        <v>-1.1102230246251565E-16</v>
      </c>
      <c r="V235" s="119"/>
      <c r="W235" s="120"/>
      <c r="X235" s="120"/>
      <c r="AE235" s="124" t="b">
        <f t="shared" si="21"/>
        <v>1</v>
      </c>
      <c r="AF235" s="124" t="b">
        <f t="shared" si="22"/>
        <v>1</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Hedgecond1</v>
      </c>
    </row>
    <row r="236" spans="2:38" ht="42.75" x14ac:dyDescent="0.2">
      <c r="B236" s="110">
        <v>227</v>
      </c>
      <c r="C236" s="165" t="s">
        <v>1913</v>
      </c>
      <c r="D236" s="165" t="s">
        <v>176</v>
      </c>
      <c r="E236" s="121">
        <v>0.2099</v>
      </c>
      <c r="F236" s="411" t="str">
        <f>IF(D236="","",VLOOKUP(D236,'G-6 Hedgerow Data'!$B$2:$AG$15,2,FALSE))</f>
        <v>Low</v>
      </c>
      <c r="G236" s="363">
        <f>IF(D236="","",VLOOKUP(D236,'G-6 Hedgerow Data'!$B$2:$AG$15,3,FALSE))</f>
        <v>2</v>
      </c>
      <c r="H236" s="114" t="s">
        <v>68</v>
      </c>
      <c r="I236" s="363">
        <f>IFERROR(VLOOKUP(H236,'G-1 All Habitats'!$Z$2:$AA$9,2,FALSE),"")</f>
        <v>3</v>
      </c>
      <c r="J236" s="114" t="s">
        <v>1037</v>
      </c>
      <c r="K236" s="370" t="str">
        <f>IF(J236="","",IF(VLOOKUP(J236,'G-3 Multipliers'!$L$3:$N$6,2,FALSE)=0,"Spatial Data Missing ⚠",VLOOKUP(J236,'G-3 Multipliers'!$L$3:$N$6,2,FALSE)))</f>
        <v>Low Strategic Significance</v>
      </c>
      <c r="L236" s="368">
        <f>IF(J236="","",IF(VLOOKUP(J236,'G-3 Multipliers'!$L$3:$N$6,3,FALSE)=0,"Spatial Data Missing ⚠",VLOOKUP(J236,'G-3 Multipliers'!$L$3:$N$6,3,FALSE)))</f>
        <v>1</v>
      </c>
      <c r="M236" s="369" t="str">
        <f>IF(D236="","",VLOOKUP(D236,'G-6 Hedgerow Data'!$B$1:$AH$15,33,FALSE))</f>
        <v>Same distinctiveness band or better</v>
      </c>
      <c r="N236" s="376">
        <f t="shared" si="23"/>
        <v>1.2594000000000001</v>
      </c>
      <c r="O236" s="32"/>
      <c r="P236" s="122">
        <v>0.2099</v>
      </c>
      <c r="Q236" s="165">
        <v>0</v>
      </c>
      <c r="R236" s="393">
        <f t="shared" si="24"/>
        <v>1.2594000000000001</v>
      </c>
      <c r="S236" s="393">
        <f t="shared" si="25"/>
        <v>0</v>
      </c>
      <c r="T236" s="393">
        <f t="shared" si="26"/>
        <v>0</v>
      </c>
      <c r="U236" s="415">
        <f t="shared" si="27"/>
        <v>0</v>
      </c>
      <c r="V236" s="119"/>
      <c r="W236" s="120"/>
      <c r="X236" s="120"/>
      <c r="AE236" s="124" t="b">
        <f t="shared" si="21"/>
        <v>1</v>
      </c>
      <c r="AF236" s="124" t="b">
        <f t="shared" si="22"/>
        <v>0</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Hedgecond1</v>
      </c>
    </row>
    <row r="237" spans="2:38" ht="42.75" x14ac:dyDescent="0.2">
      <c r="B237" s="110">
        <v>228</v>
      </c>
      <c r="C237" s="165" t="s">
        <v>1914</v>
      </c>
      <c r="D237" s="165" t="s">
        <v>176</v>
      </c>
      <c r="E237" s="121">
        <v>0.18090000000000001</v>
      </c>
      <c r="F237" s="411" t="str">
        <f>IF(D237="","",VLOOKUP(D237,'G-6 Hedgerow Data'!$B$2:$AG$15,2,FALSE))</f>
        <v>Low</v>
      </c>
      <c r="G237" s="363">
        <f>IF(D237="","",VLOOKUP(D237,'G-6 Hedgerow Data'!$B$2:$AG$15,3,FALSE))</f>
        <v>2</v>
      </c>
      <c r="H237" s="114" t="s">
        <v>68</v>
      </c>
      <c r="I237" s="363">
        <f>IFERROR(VLOOKUP(H237,'G-1 All Habitats'!$Z$2:$AA$9,2,FALSE),"")</f>
        <v>3</v>
      </c>
      <c r="J237" s="114" t="s">
        <v>1037</v>
      </c>
      <c r="K237" s="370" t="str">
        <f>IF(J237="","",IF(VLOOKUP(J237,'G-3 Multipliers'!$L$3:$N$6,2,FALSE)=0,"Spatial Data Missing ⚠",VLOOKUP(J237,'G-3 Multipliers'!$L$3:$N$6,2,FALSE)))</f>
        <v>Low Strategic Significance</v>
      </c>
      <c r="L237" s="368">
        <f>IF(J237="","",IF(VLOOKUP(J237,'G-3 Multipliers'!$L$3:$N$6,3,FALSE)=0,"Spatial Data Missing ⚠",VLOOKUP(J237,'G-3 Multipliers'!$L$3:$N$6,3,FALSE)))</f>
        <v>1</v>
      </c>
      <c r="M237" s="369" t="str">
        <f>IF(D237="","",VLOOKUP(D237,'G-6 Hedgerow Data'!$B$1:$AH$15,33,FALSE))</f>
        <v>Same distinctiveness band or better</v>
      </c>
      <c r="N237" s="376">
        <f t="shared" si="23"/>
        <v>1.0853999999999999</v>
      </c>
      <c r="O237" s="32"/>
      <c r="P237" s="122">
        <v>0.18010000000000001</v>
      </c>
      <c r="Q237" s="165">
        <v>0</v>
      </c>
      <c r="R237" s="393">
        <f t="shared" si="24"/>
        <v>1.0806</v>
      </c>
      <c r="S237" s="393">
        <f t="shared" si="25"/>
        <v>0</v>
      </c>
      <c r="T237" s="393">
        <f t="shared" si="26"/>
        <v>7.9999999999999516E-4</v>
      </c>
      <c r="U237" s="415">
        <f t="shared" si="27"/>
        <v>4.7999999999999154E-3</v>
      </c>
      <c r="V237" s="119" t="s">
        <v>1978</v>
      </c>
      <c r="W237" s="120"/>
      <c r="X237" s="120"/>
      <c r="AE237" s="124" t="b">
        <f t="shared" si="21"/>
        <v>1</v>
      </c>
      <c r="AF237" s="124" t="b">
        <f t="shared" si="22"/>
        <v>0</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Hedgecond1</v>
      </c>
    </row>
    <row r="238" spans="2:38" ht="42.75" x14ac:dyDescent="0.2">
      <c r="B238" s="110">
        <v>229</v>
      </c>
      <c r="C238" s="165" t="s">
        <v>1915</v>
      </c>
      <c r="D238" s="165" t="s">
        <v>176</v>
      </c>
      <c r="E238" s="121">
        <v>0.121</v>
      </c>
      <c r="F238" s="411" t="str">
        <f>IF(D238="","",VLOOKUP(D238,'G-6 Hedgerow Data'!$B$2:$AG$15,2,FALSE))</f>
        <v>Low</v>
      </c>
      <c r="G238" s="363">
        <f>IF(D238="","",VLOOKUP(D238,'G-6 Hedgerow Data'!$B$2:$AG$15,3,FALSE))</f>
        <v>2</v>
      </c>
      <c r="H238" s="114" t="s">
        <v>68</v>
      </c>
      <c r="I238" s="363">
        <f>IFERROR(VLOOKUP(H238,'G-1 All Habitats'!$Z$2:$AA$9,2,FALSE),"")</f>
        <v>3</v>
      </c>
      <c r="J238" s="114" t="s">
        <v>1029</v>
      </c>
      <c r="K238" s="370" t="str">
        <f>IF(J238="","",IF(VLOOKUP(J238,'G-3 Multipliers'!$L$3:$N$6,2,FALSE)=0,"Spatial Data Missing ⚠",VLOOKUP(J238,'G-3 Multipliers'!$L$3:$N$6,2,FALSE)))</f>
        <v xml:space="preserve">High strategic significance </v>
      </c>
      <c r="L238" s="368">
        <f>IF(J238="","",IF(VLOOKUP(J238,'G-3 Multipliers'!$L$3:$N$6,3,FALSE)=0,"Spatial Data Missing ⚠",VLOOKUP(J238,'G-3 Multipliers'!$L$3:$N$6,3,FALSE)))</f>
        <v>1.1499999999999999</v>
      </c>
      <c r="M238" s="369" t="str">
        <f>IF(D238="","",VLOOKUP(D238,'G-6 Hedgerow Data'!$B$1:$AH$15,33,FALSE))</f>
        <v>Same distinctiveness band or better</v>
      </c>
      <c r="N238" s="376">
        <f t="shared" si="23"/>
        <v>0.83489999999999986</v>
      </c>
      <c r="O238" s="32"/>
      <c r="P238" s="122">
        <v>2.23E-2</v>
      </c>
      <c r="Q238" s="165">
        <v>9.8699999999999996E-2</v>
      </c>
      <c r="R238" s="393">
        <f t="shared" si="24"/>
        <v>0.15386999999999998</v>
      </c>
      <c r="S238" s="393">
        <f t="shared" si="25"/>
        <v>0.68102999999999991</v>
      </c>
      <c r="T238" s="393">
        <f t="shared" si="26"/>
        <v>0</v>
      </c>
      <c r="U238" s="415">
        <f t="shared" si="27"/>
        <v>0</v>
      </c>
      <c r="V238" s="119"/>
      <c r="W238" s="120"/>
      <c r="X238" s="120"/>
      <c r="AE238" s="124" t="b">
        <f t="shared" si="21"/>
        <v>1</v>
      </c>
      <c r="AF238" s="124" t="b">
        <f t="shared" si="22"/>
        <v>1</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Hedgecond1</v>
      </c>
    </row>
    <row r="239" spans="2:38" ht="42.75" x14ac:dyDescent="0.2">
      <c r="B239" s="110">
        <v>230</v>
      </c>
      <c r="C239" s="165" t="s">
        <v>1916</v>
      </c>
      <c r="D239" s="165" t="s">
        <v>176</v>
      </c>
      <c r="E239" s="121">
        <v>8.8200000000000001E-2</v>
      </c>
      <c r="F239" s="411" t="str">
        <f>IF(D239="","",VLOOKUP(D239,'G-6 Hedgerow Data'!$B$2:$AG$15,2,FALSE))</f>
        <v>Low</v>
      </c>
      <c r="G239" s="363">
        <f>IF(D239="","",VLOOKUP(D239,'G-6 Hedgerow Data'!$B$2:$AG$15,3,FALSE))</f>
        <v>2</v>
      </c>
      <c r="H239" s="114" t="s">
        <v>68</v>
      </c>
      <c r="I239" s="363">
        <f>IFERROR(VLOOKUP(H239,'G-1 All Habitats'!$Z$2:$AA$9,2,FALSE),"")</f>
        <v>3</v>
      </c>
      <c r="J239" s="114" t="s">
        <v>1037</v>
      </c>
      <c r="K239" s="370" t="str">
        <f>IF(J239="","",IF(VLOOKUP(J239,'G-3 Multipliers'!$L$3:$N$6,2,FALSE)=0,"Spatial Data Missing ⚠",VLOOKUP(J239,'G-3 Multipliers'!$L$3:$N$6,2,FALSE)))</f>
        <v>Low Strategic Significance</v>
      </c>
      <c r="L239" s="368">
        <f>IF(J239="","",IF(VLOOKUP(J239,'G-3 Multipliers'!$L$3:$N$6,3,FALSE)=0,"Spatial Data Missing ⚠",VLOOKUP(J239,'G-3 Multipliers'!$L$3:$N$6,3,FALSE)))</f>
        <v>1</v>
      </c>
      <c r="M239" s="369" t="str">
        <f>IF(D239="","",VLOOKUP(D239,'G-6 Hedgerow Data'!$B$1:$AH$15,33,FALSE))</f>
        <v>Same distinctiveness band or better</v>
      </c>
      <c r="N239" s="376">
        <f t="shared" si="23"/>
        <v>0.5292</v>
      </c>
      <c r="O239" s="32"/>
      <c r="P239" s="122">
        <v>8.8200000000000001E-2</v>
      </c>
      <c r="Q239" s="165">
        <v>0</v>
      </c>
      <c r="R239" s="393">
        <f t="shared" si="24"/>
        <v>0.5292</v>
      </c>
      <c r="S239" s="393">
        <f t="shared" si="25"/>
        <v>0</v>
      </c>
      <c r="T239" s="393">
        <f t="shared" si="26"/>
        <v>0</v>
      </c>
      <c r="U239" s="415">
        <f t="shared" si="27"/>
        <v>0</v>
      </c>
      <c r="V239" s="119"/>
      <c r="W239" s="120"/>
      <c r="X239" s="120"/>
      <c r="AE239" s="124" t="b">
        <f t="shared" si="21"/>
        <v>1</v>
      </c>
      <c r="AF239" s="124" t="b">
        <f t="shared" si="22"/>
        <v>0</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Hedgecond1</v>
      </c>
    </row>
    <row r="240" spans="2:38" ht="42.75" x14ac:dyDescent="0.2">
      <c r="B240" s="110">
        <v>231</v>
      </c>
      <c r="C240" s="165" t="s">
        <v>1917</v>
      </c>
      <c r="D240" s="165" t="s">
        <v>171</v>
      </c>
      <c r="E240" s="121">
        <v>0.48430000000000001</v>
      </c>
      <c r="F240" s="411" t="str">
        <f>IF(D240="","",VLOOKUP(D240,'G-6 Hedgerow Data'!$B$2:$AG$15,2,FALSE))</f>
        <v>Medium</v>
      </c>
      <c r="G240" s="363">
        <f>IF(D240="","",VLOOKUP(D240,'G-6 Hedgerow Data'!$B$2:$AG$15,3,FALSE))</f>
        <v>4</v>
      </c>
      <c r="H240" s="114" t="s">
        <v>67</v>
      </c>
      <c r="I240" s="363">
        <f>IFERROR(VLOOKUP(H240,'G-1 All Habitats'!$Z$2:$AA$9,2,FALSE),"")</f>
        <v>2</v>
      </c>
      <c r="J240" s="114" t="s">
        <v>1037</v>
      </c>
      <c r="K240" s="370" t="str">
        <f>IF(J240="","",IF(VLOOKUP(J240,'G-3 Multipliers'!$L$3:$N$6,2,FALSE)=0,"Spatial Data Missing ⚠",VLOOKUP(J240,'G-3 Multipliers'!$L$3:$N$6,2,FALSE)))</f>
        <v>Low Strategic Significance</v>
      </c>
      <c r="L240" s="368">
        <f>IF(J240="","",IF(VLOOKUP(J240,'G-3 Multipliers'!$L$3:$N$6,3,FALSE)=0,"Spatial Data Missing ⚠",VLOOKUP(J240,'G-3 Multipliers'!$L$3:$N$6,3,FALSE)))</f>
        <v>1</v>
      </c>
      <c r="M240" s="369" t="str">
        <f>IF(D240="","",VLOOKUP(D240,'G-6 Hedgerow Data'!$B$1:$AH$15,33,FALSE))</f>
        <v>Same distinctiveness band or better</v>
      </c>
      <c r="N240" s="376">
        <f t="shared" si="23"/>
        <v>3.8744000000000001</v>
      </c>
      <c r="O240" s="32"/>
      <c r="P240" s="122">
        <v>5.4199999999999998E-2</v>
      </c>
      <c r="Q240" s="165">
        <v>0.43</v>
      </c>
      <c r="R240" s="393">
        <f t="shared" si="24"/>
        <v>0.43359999999999999</v>
      </c>
      <c r="S240" s="393">
        <f t="shared" si="25"/>
        <v>3.44</v>
      </c>
      <c r="T240" s="393">
        <f t="shared" si="26"/>
        <v>1.000000000000445E-4</v>
      </c>
      <c r="U240" s="415">
        <f t="shared" si="27"/>
        <v>8.0000000000035598E-4</v>
      </c>
      <c r="V240" s="119"/>
      <c r="W240" s="120"/>
      <c r="X240" s="120"/>
      <c r="AE240" s="124" t="b">
        <f t="shared" si="21"/>
        <v>1</v>
      </c>
      <c r="AF240" s="124" t="b">
        <f t="shared" si="22"/>
        <v>1</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Hedgecond1</v>
      </c>
    </row>
    <row r="241" spans="2:38" ht="42.75" x14ac:dyDescent="0.2">
      <c r="B241" s="110">
        <v>232</v>
      </c>
      <c r="C241" s="165" t="s">
        <v>1918</v>
      </c>
      <c r="D241" s="165" t="s">
        <v>176</v>
      </c>
      <c r="E241" s="121">
        <v>0.19400000000000001</v>
      </c>
      <c r="F241" s="411" t="str">
        <f>IF(D241="","",VLOOKUP(D241,'G-6 Hedgerow Data'!$B$2:$AG$15,2,FALSE))</f>
        <v>Low</v>
      </c>
      <c r="G241" s="363">
        <f>IF(D241="","",VLOOKUP(D241,'G-6 Hedgerow Data'!$B$2:$AG$15,3,FALSE))</f>
        <v>2</v>
      </c>
      <c r="H241" s="114" t="s">
        <v>68</v>
      </c>
      <c r="I241" s="363">
        <f>IFERROR(VLOOKUP(H241,'G-1 All Habitats'!$Z$2:$AA$9,2,FALSE),"")</f>
        <v>3</v>
      </c>
      <c r="J241" s="114" t="s">
        <v>1037</v>
      </c>
      <c r="K241" s="370" t="str">
        <f>IF(J241="","",IF(VLOOKUP(J241,'G-3 Multipliers'!$L$3:$N$6,2,FALSE)=0,"Spatial Data Missing ⚠",VLOOKUP(J241,'G-3 Multipliers'!$L$3:$N$6,2,FALSE)))</f>
        <v>Low Strategic Significance</v>
      </c>
      <c r="L241" s="368">
        <f>IF(J241="","",IF(VLOOKUP(J241,'G-3 Multipliers'!$L$3:$N$6,3,FALSE)=0,"Spatial Data Missing ⚠",VLOOKUP(J241,'G-3 Multipliers'!$L$3:$N$6,3,FALSE)))</f>
        <v>1</v>
      </c>
      <c r="M241" s="369" t="str">
        <f>IF(D241="","",VLOOKUP(D241,'G-6 Hedgerow Data'!$B$1:$AH$15,33,FALSE))</f>
        <v>Same distinctiveness band or better</v>
      </c>
      <c r="N241" s="376">
        <f t="shared" si="23"/>
        <v>1.1640000000000001</v>
      </c>
      <c r="O241" s="32"/>
      <c r="P241" s="122">
        <v>0.19400000000000001</v>
      </c>
      <c r="Q241" s="165">
        <v>0</v>
      </c>
      <c r="R241" s="393">
        <f t="shared" si="24"/>
        <v>1.1640000000000001</v>
      </c>
      <c r="S241" s="393">
        <f t="shared" si="25"/>
        <v>0</v>
      </c>
      <c r="T241" s="393">
        <f t="shared" si="26"/>
        <v>0</v>
      </c>
      <c r="U241" s="415">
        <f t="shared" si="27"/>
        <v>0</v>
      </c>
      <c r="V241" s="119"/>
      <c r="W241" s="120"/>
      <c r="X241" s="120"/>
      <c r="AE241" s="124" t="b">
        <f t="shared" si="21"/>
        <v>1</v>
      </c>
      <c r="AF241" s="124" t="b">
        <f t="shared" si="22"/>
        <v>0</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Hedgecond1</v>
      </c>
    </row>
    <row r="242" spans="2:38" ht="42.75" x14ac:dyDescent="0.2">
      <c r="B242" s="110">
        <v>233</v>
      </c>
      <c r="C242" s="165" t="s">
        <v>1919</v>
      </c>
      <c r="D242" s="165" t="s">
        <v>176</v>
      </c>
      <c r="E242" s="121">
        <v>8.8900000000000007E-2</v>
      </c>
      <c r="F242" s="411" t="str">
        <f>IF(D242="","",VLOOKUP(D242,'G-6 Hedgerow Data'!$B$2:$AG$15,2,FALSE))</f>
        <v>Low</v>
      </c>
      <c r="G242" s="363">
        <f>IF(D242="","",VLOOKUP(D242,'G-6 Hedgerow Data'!$B$2:$AG$15,3,FALSE))</f>
        <v>2</v>
      </c>
      <c r="H242" s="114" t="s">
        <v>68</v>
      </c>
      <c r="I242" s="363">
        <f>IFERROR(VLOOKUP(H242,'G-1 All Habitats'!$Z$2:$AA$9,2,FALSE),"")</f>
        <v>3</v>
      </c>
      <c r="J242" s="114" t="s">
        <v>1029</v>
      </c>
      <c r="K242" s="370" t="str">
        <f>IF(J242="","",IF(VLOOKUP(J242,'G-3 Multipliers'!$L$3:$N$6,2,FALSE)=0,"Spatial Data Missing ⚠",VLOOKUP(J242,'G-3 Multipliers'!$L$3:$N$6,2,FALSE)))</f>
        <v xml:space="preserve">High strategic significance </v>
      </c>
      <c r="L242" s="368">
        <f>IF(J242="","",IF(VLOOKUP(J242,'G-3 Multipliers'!$L$3:$N$6,3,FALSE)=0,"Spatial Data Missing ⚠",VLOOKUP(J242,'G-3 Multipliers'!$L$3:$N$6,3,FALSE)))</f>
        <v>1.1499999999999999</v>
      </c>
      <c r="M242" s="369" t="str">
        <f>IF(D242="","",VLOOKUP(D242,'G-6 Hedgerow Data'!$B$1:$AH$15,33,FALSE))</f>
        <v>Same distinctiveness band or better</v>
      </c>
      <c r="N242" s="376">
        <f t="shared" si="23"/>
        <v>0.61341000000000001</v>
      </c>
      <c r="O242" s="32"/>
      <c r="P242" s="122">
        <v>8.8900000000000007E-2</v>
      </c>
      <c r="Q242" s="165">
        <v>0</v>
      </c>
      <c r="R242" s="393">
        <f t="shared" si="24"/>
        <v>0.61341000000000001</v>
      </c>
      <c r="S242" s="393">
        <f t="shared" si="25"/>
        <v>0</v>
      </c>
      <c r="T242" s="393">
        <f t="shared" si="26"/>
        <v>0</v>
      </c>
      <c r="U242" s="415">
        <f t="shared" si="27"/>
        <v>0</v>
      </c>
      <c r="V242" s="119"/>
      <c r="W242" s="120"/>
      <c r="X242" s="120"/>
      <c r="AE242" s="124" t="b">
        <f t="shared" si="21"/>
        <v>1</v>
      </c>
      <c r="AF242" s="124" t="b">
        <f t="shared" si="22"/>
        <v>0</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Hedgecond1</v>
      </c>
    </row>
    <row r="243" spans="2:38" ht="42.75" x14ac:dyDescent="0.2">
      <c r="B243" s="110">
        <v>234</v>
      </c>
      <c r="C243" s="165" t="s">
        <v>1920</v>
      </c>
      <c r="D243" s="165" t="s">
        <v>171</v>
      </c>
      <c r="E243" s="121">
        <v>0.1661</v>
      </c>
      <c r="F243" s="411" t="str">
        <f>IF(D243="","",VLOOKUP(D243,'G-6 Hedgerow Data'!$B$2:$AG$15,2,FALSE))</f>
        <v>Medium</v>
      </c>
      <c r="G243" s="363">
        <f>IF(D243="","",VLOOKUP(D243,'G-6 Hedgerow Data'!$B$2:$AG$15,3,FALSE))</f>
        <v>4</v>
      </c>
      <c r="H243" s="114" t="s">
        <v>68</v>
      </c>
      <c r="I243" s="363">
        <f>IFERROR(VLOOKUP(H243,'G-1 All Habitats'!$Z$2:$AA$9,2,FALSE),"")</f>
        <v>3</v>
      </c>
      <c r="J243" s="114" t="s">
        <v>1029</v>
      </c>
      <c r="K243" s="370" t="str">
        <f>IF(J243="","",IF(VLOOKUP(J243,'G-3 Multipliers'!$L$3:$N$6,2,FALSE)=0,"Spatial Data Missing ⚠",VLOOKUP(J243,'G-3 Multipliers'!$L$3:$N$6,2,FALSE)))</f>
        <v xml:space="preserve">High strategic significance </v>
      </c>
      <c r="L243" s="368">
        <f>IF(J243="","",IF(VLOOKUP(J243,'G-3 Multipliers'!$L$3:$N$6,3,FALSE)=0,"Spatial Data Missing ⚠",VLOOKUP(J243,'G-3 Multipliers'!$L$3:$N$6,3,FALSE)))</f>
        <v>1.1499999999999999</v>
      </c>
      <c r="M243" s="369" t="str">
        <f>IF(D243="","",VLOOKUP(D243,'G-6 Hedgerow Data'!$B$1:$AH$15,33,FALSE))</f>
        <v>Same distinctiveness band or better</v>
      </c>
      <c r="N243" s="376">
        <f t="shared" si="23"/>
        <v>2.2921799999999997</v>
      </c>
      <c r="O243" s="32"/>
      <c r="P243" s="122">
        <v>0.1661</v>
      </c>
      <c r="Q243" s="165">
        <v>0</v>
      </c>
      <c r="R243" s="393">
        <f t="shared" si="24"/>
        <v>2.2921799999999997</v>
      </c>
      <c r="S243" s="393">
        <f t="shared" si="25"/>
        <v>0</v>
      </c>
      <c r="T243" s="393">
        <f t="shared" si="26"/>
        <v>0</v>
      </c>
      <c r="U243" s="415">
        <f t="shared" si="27"/>
        <v>0</v>
      </c>
      <c r="V243" s="119"/>
      <c r="W243" s="120"/>
      <c r="X243" s="120"/>
      <c r="AE243" s="124" t="b">
        <f t="shared" si="21"/>
        <v>1</v>
      </c>
      <c r="AF243" s="124" t="b">
        <f t="shared" si="22"/>
        <v>0</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Hedgecond1</v>
      </c>
    </row>
    <row r="244" spans="2:38" ht="42.75" x14ac:dyDescent="0.2">
      <c r="B244" s="110">
        <v>235</v>
      </c>
      <c r="C244" s="165" t="s">
        <v>1921</v>
      </c>
      <c r="D244" s="165" t="s">
        <v>176</v>
      </c>
      <c r="E244" s="121">
        <v>5.11E-2</v>
      </c>
      <c r="F244" s="411" t="str">
        <f>IF(D244="","",VLOOKUP(D244,'G-6 Hedgerow Data'!$B$2:$AG$15,2,FALSE))</f>
        <v>Low</v>
      </c>
      <c r="G244" s="363">
        <f>IF(D244="","",VLOOKUP(D244,'G-6 Hedgerow Data'!$B$2:$AG$15,3,FALSE))</f>
        <v>2</v>
      </c>
      <c r="H244" s="114" t="s">
        <v>67</v>
      </c>
      <c r="I244" s="363">
        <f>IFERROR(VLOOKUP(H244,'G-1 All Habitats'!$Z$2:$AA$9,2,FALSE),"")</f>
        <v>2</v>
      </c>
      <c r="J244" s="114" t="s">
        <v>1037</v>
      </c>
      <c r="K244" s="370" t="str">
        <f>IF(J244="","",IF(VLOOKUP(J244,'G-3 Multipliers'!$L$3:$N$6,2,FALSE)=0,"Spatial Data Missing ⚠",VLOOKUP(J244,'G-3 Multipliers'!$L$3:$N$6,2,FALSE)))</f>
        <v>Low Strategic Significance</v>
      </c>
      <c r="L244" s="368">
        <f>IF(J244="","",IF(VLOOKUP(J244,'G-3 Multipliers'!$L$3:$N$6,3,FALSE)=0,"Spatial Data Missing ⚠",VLOOKUP(J244,'G-3 Multipliers'!$L$3:$N$6,3,FALSE)))</f>
        <v>1</v>
      </c>
      <c r="M244" s="369" t="str">
        <f>IF(D244="","",VLOOKUP(D244,'G-6 Hedgerow Data'!$B$1:$AH$15,33,FALSE))</f>
        <v>Same distinctiveness band or better</v>
      </c>
      <c r="N244" s="376">
        <f t="shared" si="23"/>
        <v>0.2044</v>
      </c>
      <c r="O244" s="32"/>
      <c r="P244" s="122">
        <v>4.07E-2</v>
      </c>
      <c r="Q244" s="165">
        <v>0</v>
      </c>
      <c r="R244" s="393">
        <f t="shared" si="24"/>
        <v>0.1628</v>
      </c>
      <c r="S244" s="393">
        <f t="shared" si="25"/>
        <v>0</v>
      </c>
      <c r="T244" s="393">
        <f t="shared" si="26"/>
        <v>1.04E-2</v>
      </c>
      <c r="U244" s="415">
        <f t="shared" si="27"/>
        <v>4.1599999999999998E-2</v>
      </c>
      <c r="V244" s="119" t="s">
        <v>1979</v>
      </c>
      <c r="W244" s="120"/>
      <c r="X244" s="120"/>
      <c r="AE244" s="124" t="b">
        <f t="shared" si="21"/>
        <v>1</v>
      </c>
      <c r="AF244" s="124" t="b">
        <f t="shared" si="22"/>
        <v>0</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Hedgecond1</v>
      </c>
    </row>
    <row r="245" spans="2:38" ht="42.75" x14ac:dyDescent="0.2">
      <c r="B245" s="110">
        <v>236</v>
      </c>
      <c r="C245" s="165" t="s">
        <v>1922</v>
      </c>
      <c r="D245" s="165" t="s">
        <v>176</v>
      </c>
      <c r="E245" s="121">
        <v>0.1172</v>
      </c>
      <c r="F245" s="411" t="str">
        <f>IF(D245="","",VLOOKUP(D245,'G-6 Hedgerow Data'!$B$2:$AG$15,2,FALSE))</f>
        <v>Low</v>
      </c>
      <c r="G245" s="363">
        <f>IF(D245="","",VLOOKUP(D245,'G-6 Hedgerow Data'!$B$2:$AG$15,3,FALSE))</f>
        <v>2</v>
      </c>
      <c r="H245" s="114" t="s">
        <v>67</v>
      </c>
      <c r="I245" s="363">
        <f>IFERROR(VLOOKUP(H245,'G-1 All Habitats'!$Z$2:$AA$9,2,FALSE),"")</f>
        <v>2</v>
      </c>
      <c r="J245" s="114" t="s">
        <v>1029</v>
      </c>
      <c r="K245" s="370" t="str">
        <f>IF(J245="","",IF(VLOOKUP(J245,'G-3 Multipliers'!$L$3:$N$6,2,FALSE)=0,"Spatial Data Missing ⚠",VLOOKUP(J245,'G-3 Multipliers'!$L$3:$N$6,2,FALSE)))</f>
        <v xml:space="preserve">High strategic significance </v>
      </c>
      <c r="L245" s="368">
        <f>IF(J245="","",IF(VLOOKUP(J245,'G-3 Multipliers'!$L$3:$N$6,3,FALSE)=0,"Spatial Data Missing ⚠",VLOOKUP(J245,'G-3 Multipliers'!$L$3:$N$6,3,FALSE)))</f>
        <v>1.1499999999999999</v>
      </c>
      <c r="M245" s="369" t="str">
        <f>IF(D245="","",VLOOKUP(D245,'G-6 Hedgerow Data'!$B$1:$AH$15,33,FALSE))</f>
        <v>Same distinctiveness band or better</v>
      </c>
      <c r="N245" s="376">
        <f t="shared" si="23"/>
        <v>0.53911999999999993</v>
      </c>
      <c r="O245" s="32"/>
      <c r="P245" s="122">
        <v>9.0499999999999997E-2</v>
      </c>
      <c r="Q245" s="165">
        <v>0</v>
      </c>
      <c r="R245" s="393">
        <f t="shared" si="24"/>
        <v>0.41629999999999995</v>
      </c>
      <c r="S245" s="393">
        <f t="shared" si="25"/>
        <v>0</v>
      </c>
      <c r="T245" s="393">
        <f t="shared" si="26"/>
        <v>2.6700000000000002E-2</v>
      </c>
      <c r="U245" s="415">
        <f t="shared" si="27"/>
        <v>0.12281999999999998</v>
      </c>
      <c r="V245" s="119" t="s">
        <v>1979</v>
      </c>
      <c r="W245" s="120"/>
      <c r="X245" s="120"/>
      <c r="AE245" s="124" t="b">
        <f t="shared" si="21"/>
        <v>1</v>
      </c>
      <c r="AF245" s="124" t="b">
        <f t="shared" si="22"/>
        <v>0</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Hedgecond1</v>
      </c>
    </row>
    <row r="246" spans="2:38" ht="42.75" x14ac:dyDescent="0.2">
      <c r="B246" s="110">
        <v>237</v>
      </c>
      <c r="C246" s="165" t="s">
        <v>1923</v>
      </c>
      <c r="D246" s="165" t="s">
        <v>176</v>
      </c>
      <c r="E246" s="121">
        <v>5.2699999999999997E-2</v>
      </c>
      <c r="F246" s="411" t="str">
        <f>IF(D246="","",VLOOKUP(D246,'G-6 Hedgerow Data'!$B$2:$AG$15,2,FALSE))</f>
        <v>Low</v>
      </c>
      <c r="G246" s="363">
        <f>IF(D246="","",VLOOKUP(D246,'G-6 Hedgerow Data'!$B$2:$AG$15,3,FALSE))</f>
        <v>2</v>
      </c>
      <c r="H246" s="114" t="s">
        <v>68</v>
      </c>
      <c r="I246" s="363">
        <f>IFERROR(VLOOKUP(H246,'G-1 All Habitats'!$Z$2:$AA$9,2,FALSE),"")</f>
        <v>3</v>
      </c>
      <c r="J246" s="114" t="s">
        <v>1029</v>
      </c>
      <c r="K246" s="370" t="str">
        <f>IF(J246="","",IF(VLOOKUP(J246,'G-3 Multipliers'!$L$3:$N$6,2,FALSE)=0,"Spatial Data Missing ⚠",VLOOKUP(J246,'G-3 Multipliers'!$L$3:$N$6,2,FALSE)))</f>
        <v xml:space="preserve">High strategic significance </v>
      </c>
      <c r="L246" s="368">
        <f>IF(J246="","",IF(VLOOKUP(J246,'G-3 Multipliers'!$L$3:$N$6,3,FALSE)=0,"Spatial Data Missing ⚠",VLOOKUP(J246,'G-3 Multipliers'!$L$3:$N$6,3,FALSE)))</f>
        <v>1.1499999999999999</v>
      </c>
      <c r="M246" s="369" t="str">
        <f>IF(D246="","",VLOOKUP(D246,'G-6 Hedgerow Data'!$B$1:$AH$15,33,FALSE))</f>
        <v>Same distinctiveness band or better</v>
      </c>
      <c r="N246" s="376">
        <f t="shared" si="23"/>
        <v>0.36362999999999995</v>
      </c>
      <c r="O246" s="32"/>
      <c r="P246" s="122">
        <v>1.21E-2</v>
      </c>
      <c r="Q246" s="165">
        <v>4.0599999999999997E-2</v>
      </c>
      <c r="R246" s="393">
        <f t="shared" si="24"/>
        <v>8.3489999999999995E-2</v>
      </c>
      <c r="S246" s="393">
        <f t="shared" si="25"/>
        <v>0.28013999999999994</v>
      </c>
      <c r="T246" s="393">
        <f t="shared" si="26"/>
        <v>0</v>
      </c>
      <c r="U246" s="415">
        <f t="shared" si="27"/>
        <v>0</v>
      </c>
      <c r="V246" s="119"/>
      <c r="W246" s="120"/>
      <c r="X246" s="120"/>
      <c r="AE246" s="124" t="b">
        <f t="shared" si="21"/>
        <v>1</v>
      </c>
      <c r="AF246" s="124" t="b">
        <f t="shared" si="22"/>
        <v>1</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Hedgecond1</v>
      </c>
    </row>
    <row r="247" spans="2:38" ht="42.75" x14ac:dyDescent="0.2">
      <c r="B247" s="110">
        <v>238</v>
      </c>
      <c r="C247" s="165" t="s">
        <v>1924</v>
      </c>
      <c r="D247" s="165" t="s">
        <v>176</v>
      </c>
      <c r="E247" s="121">
        <v>0.63880000000000003</v>
      </c>
      <c r="F247" s="411" t="str">
        <f>IF(D247="","",VLOOKUP(D247,'G-6 Hedgerow Data'!$B$2:$AG$15,2,FALSE))</f>
        <v>Low</v>
      </c>
      <c r="G247" s="363">
        <f>IF(D247="","",VLOOKUP(D247,'G-6 Hedgerow Data'!$B$2:$AG$15,3,FALSE))</f>
        <v>2</v>
      </c>
      <c r="H247" s="114" t="s">
        <v>68</v>
      </c>
      <c r="I247" s="363">
        <f>IFERROR(VLOOKUP(H247,'G-1 All Habitats'!$Z$2:$AA$9,2,FALSE),"")</f>
        <v>3</v>
      </c>
      <c r="J247" s="114" t="s">
        <v>1037</v>
      </c>
      <c r="K247" s="370" t="str">
        <f>IF(J247="","",IF(VLOOKUP(J247,'G-3 Multipliers'!$L$3:$N$6,2,FALSE)=0,"Spatial Data Missing ⚠",VLOOKUP(J247,'G-3 Multipliers'!$L$3:$N$6,2,FALSE)))</f>
        <v>Low Strategic Significance</v>
      </c>
      <c r="L247" s="368">
        <f>IF(J247="","",IF(VLOOKUP(J247,'G-3 Multipliers'!$L$3:$N$6,3,FALSE)=0,"Spatial Data Missing ⚠",VLOOKUP(J247,'G-3 Multipliers'!$L$3:$N$6,3,FALSE)))</f>
        <v>1</v>
      </c>
      <c r="M247" s="369" t="str">
        <f>IF(D247="","",VLOOKUP(D247,'G-6 Hedgerow Data'!$B$1:$AH$15,33,FALSE))</f>
        <v>Same distinctiveness band or better</v>
      </c>
      <c r="N247" s="376">
        <f t="shared" si="23"/>
        <v>3.8328000000000002</v>
      </c>
      <c r="O247" s="32"/>
      <c r="P247" s="122">
        <v>0.57920000000000005</v>
      </c>
      <c r="Q247" s="165">
        <v>0</v>
      </c>
      <c r="R247" s="393">
        <f t="shared" si="24"/>
        <v>3.4752000000000001</v>
      </c>
      <c r="S247" s="393">
        <f t="shared" si="25"/>
        <v>0</v>
      </c>
      <c r="T247" s="393">
        <f t="shared" si="26"/>
        <v>5.9599999999999986E-2</v>
      </c>
      <c r="U247" s="415">
        <f t="shared" si="27"/>
        <v>0.35760000000000014</v>
      </c>
      <c r="V247" s="119" t="s">
        <v>1980</v>
      </c>
      <c r="W247" s="120"/>
      <c r="X247" s="120"/>
      <c r="AE247" s="124" t="b">
        <f t="shared" si="21"/>
        <v>1</v>
      </c>
      <c r="AF247" s="124" t="b">
        <f t="shared" si="22"/>
        <v>0</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Hedgecond1</v>
      </c>
    </row>
    <row r="248" spans="2:38" ht="42.75" x14ac:dyDescent="0.2">
      <c r="B248" s="110">
        <v>239</v>
      </c>
      <c r="C248" s="165" t="s">
        <v>1925</v>
      </c>
      <c r="D248" s="165" t="s">
        <v>171</v>
      </c>
      <c r="E248" s="121">
        <v>0.37509999999999999</v>
      </c>
      <c r="F248" s="411" t="str">
        <f>IF(D248="","",VLOOKUP(D248,'G-6 Hedgerow Data'!$B$2:$AG$15,2,FALSE))</f>
        <v>Medium</v>
      </c>
      <c r="G248" s="363">
        <f>IF(D248="","",VLOOKUP(D248,'G-6 Hedgerow Data'!$B$2:$AG$15,3,FALSE))</f>
        <v>4</v>
      </c>
      <c r="H248" s="114" t="s">
        <v>67</v>
      </c>
      <c r="I248" s="363">
        <f>IFERROR(VLOOKUP(H248,'G-1 All Habitats'!$Z$2:$AA$9,2,FALSE),"")</f>
        <v>2</v>
      </c>
      <c r="J248" s="114" t="s">
        <v>1037</v>
      </c>
      <c r="K248" s="370" t="str">
        <f>IF(J248="","",IF(VLOOKUP(J248,'G-3 Multipliers'!$L$3:$N$6,2,FALSE)=0,"Spatial Data Missing ⚠",VLOOKUP(J248,'G-3 Multipliers'!$L$3:$N$6,2,FALSE)))</f>
        <v>Low Strategic Significance</v>
      </c>
      <c r="L248" s="368">
        <f>IF(J248="","",IF(VLOOKUP(J248,'G-3 Multipliers'!$L$3:$N$6,3,FALSE)=0,"Spatial Data Missing ⚠",VLOOKUP(J248,'G-3 Multipliers'!$L$3:$N$6,3,FALSE)))</f>
        <v>1</v>
      </c>
      <c r="M248" s="369" t="str">
        <f>IF(D248="","",VLOOKUP(D248,'G-6 Hedgerow Data'!$B$1:$AH$15,33,FALSE))</f>
        <v>Same distinctiveness band or better</v>
      </c>
      <c r="N248" s="376">
        <f t="shared" si="23"/>
        <v>3.0007999999999999</v>
      </c>
      <c r="O248" s="32"/>
      <c r="P248" s="122">
        <v>0.30509999999999998</v>
      </c>
      <c r="Q248" s="165">
        <v>0</v>
      </c>
      <c r="R248" s="393">
        <f t="shared" si="24"/>
        <v>2.4407999999999999</v>
      </c>
      <c r="S248" s="393">
        <f t="shared" si="25"/>
        <v>0</v>
      </c>
      <c r="T248" s="393">
        <f t="shared" si="26"/>
        <v>7.0000000000000007E-2</v>
      </c>
      <c r="U248" s="415">
        <f t="shared" si="27"/>
        <v>0.56000000000000005</v>
      </c>
      <c r="V248" s="119" t="s">
        <v>1981</v>
      </c>
      <c r="W248" s="120"/>
      <c r="X248" s="120"/>
      <c r="AE248" s="124" t="b">
        <f t="shared" si="21"/>
        <v>1</v>
      </c>
      <c r="AF248" s="124" t="b">
        <f t="shared" si="22"/>
        <v>0</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Hedgecond1</v>
      </c>
    </row>
    <row r="249" spans="2:38" ht="42.75" x14ac:dyDescent="0.2">
      <c r="B249" s="110">
        <v>240</v>
      </c>
      <c r="C249" s="165" t="s">
        <v>1926</v>
      </c>
      <c r="D249" s="165" t="s">
        <v>171</v>
      </c>
      <c r="E249" s="121">
        <v>0.24010000000000001</v>
      </c>
      <c r="F249" s="411" t="str">
        <f>IF(D249="","",VLOOKUP(D249,'G-6 Hedgerow Data'!$B$2:$AG$15,2,FALSE))</f>
        <v>Medium</v>
      </c>
      <c r="G249" s="363">
        <f>IF(D249="","",VLOOKUP(D249,'G-6 Hedgerow Data'!$B$2:$AG$15,3,FALSE))</f>
        <v>4</v>
      </c>
      <c r="H249" s="114" t="s">
        <v>68</v>
      </c>
      <c r="I249" s="363">
        <f>IFERROR(VLOOKUP(H249,'G-1 All Habitats'!$Z$2:$AA$9,2,FALSE),"")</f>
        <v>3</v>
      </c>
      <c r="J249" s="114" t="s">
        <v>1037</v>
      </c>
      <c r="K249" s="370" t="str">
        <f>IF(J249="","",IF(VLOOKUP(J249,'G-3 Multipliers'!$L$3:$N$6,2,FALSE)=0,"Spatial Data Missing ⚠",VLOOKUP(J249,'G-3 Multipliers'!$L$3:$N$6,2,FALSE)))</f>
        <v>Low Strategic Significance</v>
      </c>
      <c r="L249" s="368">
        <f>IF(J249="","",IF(VLOOKUP(J249,'G-3 Multipliers'!$L$3:$N$6,3,FALSE)=0,"Spatial Data Missing ⚠",VLOOKUP(J249,'G-3 Multipliers'!$L$3:$N$6,3,FALSE)))</f>
        <v>1</v>
      </c>
      <c r="M249" s="369" t="str">
        <f>IF(D249="","",VLOOKUP(D249,'G-6 Hedgerow Data'!$B$1:$AH$15,33,FALSE))</f>
        <v>Same distinctiveness band or better</v>
      </c>
      <c r="N249" s="376">
        <f t="shared" si="23"/>
        <v>2.8812000000000002</v>
      </c>
      <c r="O249" s="32"/>
      <c r="P249" s="122">
        <v>2.18E-2</v>
      </c>
      <c r="Q249" s="165">
        <v>0.21479999999999999</v>
      </c>
      <c r="R249" s="393">
        <f t="shared" si="24"/>
        <v>0.2616</v>
      </c>
      <c r="S249" s="393">
        <f t="shared" si="25"/>
        <v>2.5775999999999999</v>
      </c>
      <c r="T249" s="393">
        <f t="shared" si="26"/>
        <v>3.5000000000000031E-3</v>
      </c>
      <c r="U249" s="415">
        <f t="shared" si="27"/>
        <v>4.2000000000000259E-2</v>
      </c>
      <c r="V249" s="119" t="s">
        <v>1982</v>
      </c>
      <c r="W249" s="120"/>
      <c r="X249" s="120"/>
      <c r="AE249" s="124" t="b">
        <f t="shared" si="21"/>
        <v>1</v>
      </c>
      <c r="AF249" s="124" t="b">
        <f t="shared" si="22"/>
        <v>1</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Hedgecond1</v>
      </c>
    </row>
    <row r="250" spans="2:38" x14ac:dyDescent="0.2">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x14ac:dyDescent="0.2">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x14ac:dyDescent="0.2">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x14ac:dyDescent="0.2">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x14ac:dyDescent="0.2">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x14ac:dyDescent="0.2">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x14ac:dyDescent="0.2">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 thickBot="1" x14ac:dyDescent="0.25">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 thickBot="1" x14ac:dyDescent="0.25">
      <c r="D258" s="859"/>
      <c r="E258" s="412">
        <f>SUM(E10:E257)</f>
        <v>67.884599999999978</v>
      </c>
      <c r="M258" s="859"/>
      <c r="N258" s="414">
        <f>SUM(N10:N257)</f>
        <v>561.29602999999986</v>
      </c>
      <c r="O258" s="133"/>
      <c r="P258" s="379">
        <f t="shared" ref="P258:U258" si="28">SUM(P10:P257)</f>
        <v>46.138399999999997</v>
      </c>
      <c r="Q258" s="380">
        <f t="shared" si="28"/>
        <v>21.122500000000006</v>
      </c>
      <c r="R258" s="380" cm="1">
        <f t="array" ref="R258">IF(OR(T10:T257="Error in Lengths ▲", R10:R27 = "Error"), "Error ▲", SUM(R10:R257))</f>
        <v>385.19090000000006</v>
      </c>
      <c r="S258" s="380" cm="1">
        <f t="array" ref="S258">IF(OR(T10:T257="Error in lengths ▲",S10:S257="Error"),"Error ▲",SUM(S10:S257))</f>
        <v>171.13884000000002</v>
      </c>
      <c r="T258" s="380">
        <f t="shared" si="28"/>
        <v>0.62370000000000014</v>
      </c>
      <c r="U258" s="377">
        <f t="shared" si="28"/>
        <v>4.9662899999999972</v>
      </c>
    </row>
    <row r="259" spans="2:38" x14ac:dyDescent="0.2">
      <c r="O259" s="133"/>
      <c r="P259" s="133"/>
      <c r="Q259" s="133"/>
      <c r="R259" s="133"/>
      <c r="S259" s="133"/>
      <c r="T259" s="133"/>
      <c r="U259" s="133"/>
    </row>
    <row r="260" spans="2:38" x14ac:dyDescent="0.2">
      <c r="B260" s="102"/>
      <c r="C260" s="102"/>
    </row>
    <row r="261" spans="2:38" x14ac:dyDescent="0.2">
      <c r="B261" s="102"/>
      <c r="C261" s="102"/>
    </row>
    <row r="262" spans="2:38" x14ac:dyDescent="0.2">
      <c r="B262" s="102"/>
      <c r="C262" s="102"/>
    </row>
    <row r="263" spans="2:38" x14ac:dyDescent="0.2">
      <c r="B263" s="102"/>
      <c r="C263" s="102"/>
    </row>
    <row r="264" spans="2:38" x14ac:dyDescent="0.2">
      <c r="B264" s="102"/>
      <c r="C264" s="102"/>
    </row>
  </sheetData>
  <sheetProtection algorithmName="SHA-512" hashValue="Aqa4fs+sZ2/uT84UkrSl1EJI2z1PUWwU2NSwLFjVwhztTL5cmEzIgOt/A87eewHVjueoTH3imObNLt+B0mHbVg==" saltValue="sLNdaQ6Oy54MiFrRwW87y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I10:I257">
    <cfRule type="containsText" dxfId="308" priority="6" operator="containsText" text="Not possible">
      <formula>NOT(ISERROR(SEARCH("Not possible",I10)))</formula>
    </cfRule>
  </conditionalFormatting>
  <conditionalFormatting sqref="J3:J4">
    <cfRule type="containsText" dxfId="307" priority="1" operator="containsText" text="Error">
      <formula>NOT(ISERROR(SEARCH("Error",J3)))</formula>
    </cfRule>
    <cfRule type="containsText" dxfId="306" priority="2" operator="containsText" text="Check">
      <formula>NOT(ISERROR(SEARCH("Check",J3)))</formula>
    </cfRule>
  </conditionalFormatting>
  <conditionalFormatting sqref="J4">
    <cfRule type="cellIs" dxfId="305" priority="3" operator="equal">
      <formula>0</formula>
    </cfRule>
    <cfRule type="cellIs" dxfId="304" priority="4" operator="lessThan">
      <formula>0</formula>
    </cfRule>
  </conditionalFormatting>
  <conditionalFormatting sqref="J5">
    <cfRule type="containsText" dxfId="301" priority="7" operator="containsText" text="No">
      <formula>NOT(ISERROR(SEARCH("No",J5)))</formula>
    </cfRule>
    <cfRule type="containsText" dxfId="300" priority="8" operator="containsText" text="Yes">
      <formula>NOT(ISERROR(SEARCH("Yes",J5)))</formula>
    </cfRule>
  </conditionalFormatting>
  <conditionalFormatting sqref="K10:L257">
    <cfRule type="containsText" dxfId="299" priority="21" operator="containsText" text="Spatial">
      <formula>NOT(ISERROR(SEARCH("Spatial",K10)))</formula>
    </cfRule>
  </conditionalFormatting>
  <conditionalFormatting sqref="M10:M257">
    <cfRule type="cellIs" dxfId="298" priority="24" operator="equal">
      <formula>"Like for like or better"</formula>
    </cfRule>
    <cfRule type="cellIs" dxfId="297" priority="25" operator="equal">
      <formula>"Like for like"</formula>
    </cfRule>
    <cfRule type="containsText" dxfId="296" priority="26" operator="containsText" text="Same distinctiveness">
      <formula>NOT(ISERROR(SEARCH("Same distinctiveness",M10)))</formula>
    </cfRule>
  </conditionalFormatting>
  <conditionalFormatting sqref="R258:S258">
    <cfRule type="containsText" dxfId="295" priority="5" operator="containsText" text="Error">
      <formula>NOT(ISERROR(SEARCH("Error",R258)))</formula>
    </cfRule>
  </conditionalFormatting>
  <conditionalFormatting sqref="T10:U257">
    <cfRule type="containsText" dxfId="294" priority="19" operator="containsText" text="Error">
      <formula>NOT(ISERROR(SEARCH("Error",T10)))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3" operator="lessThan" id="{B1ACE558-59E3-4CD1-B5A8-4EB8AA7004D8}">
            <xm:f>Start!$F$22</xm:f>
            <x14:dxf>
              <font>
                <color rgb="FF383745"/>
              </font>
              <fill>
                <patternFill>
                  <bgColor rgb="FFFFC000"/>
                </patternFill>
              </fill>
            </x14:dxf>
          </x14:cfRule>
          <x14:cfRule type="cellIs" priority="434"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zoomScale="80" zoomScaleNormal="80" workbookViewId="0">
      <selection activeCell="S16" sqref="S16"/>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6.4257812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923"/>
      <c r="G1" s="923"/>
      <c r="H1" s="923"/>
      <c r="I1" s="923"/>
      <c r="J1" s="923"/>
      <c r="K1" s="924"/>
      <c r="L1" s="924"/>
      <c r="M1" s="924"/>
      <c r="N1" s="924"/>
      <c r="O1" s="924"/>
      <c r="P1" s="924"/>
    </row>
    <row r="2" spans="1:19" ht="15.75" customHeight="1" x14ac:dyDescent="0.4">
      <c r="B2" s="12"/>
      <c r="C2" s="12"/>
      <c r="E2" s="13"/>
    </row>
    <row r="3" spans="1:19" ht="15.75" customHeight="1" x14ac:dyDescent="0.4">
      <c r="A3" s="13"/>
      <c r="B3" s="13"/>
      <c r="C3" s="13"/>
      <c r="D3" s="13"/>
      <c r="E3" s="13"/>
      <c r="F3" s="925"/>
      <c r="G3" s="925"/>
      <c r="H3" s="925"/>
      <c r="I3" s="925"/>
      <c r="J3" s="925"/>
      <c r="K3" s="925"/>
      <c r="L3" s="925"/>
      <c r="M3" s="925"/>
      <c r="N3" s="925"/>
      <c r="O3" s="925"/>
      <c r="P3" s="925"/>
      <c r="Q3" s="925"/>
    </row>
    <row r="4" spans="1:19" ht="16.5" customHeight="1" x14ac:dyDescent="0.4">
      <c r="A4" s="13"/>
      <c r="B4" s="13"/>
      <c r="C4" s="13"/>
      <c r="D4" s="13"/>
      <c r="E4" s="13"/>
      <c r="F4" s="925"/>
      <c r="G4" s="925"/>
      <c r="H4" s="925"/>
      <c r="I4" s="925"/>
      <c r="J4" s="925"/>
      <c r="K4" s="925"/>
      <c r="L4" s="925"/>
      <c r="M4" s="925"/>
      <c r="N4" s="925"/>
      <c r="O4" s="925"/>
      <c r="P4" s="925"/>
      <c r="Q4" s="925"/>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702">
        <v>4</v>
      </c>
      <c r="E8" s="930"/>
      <c r="F8" s="930"/>
      <c r="G8" s="930"/>
      <c r="H8" s="930"/>
      <c r="I8" s="930"/>
      <c r="J8" s="930"/>
      <c r="K8" s="14"/>
      <c r="L8" s="14"/>
      <c r="M8" s="14"/>
      <c r="N8" s="14"/>
      <c r="O8" s="14"/>
      <c r="P8" s="14"/>
      <c r="Q8" s="14"/>
      <c r="R8" s="14"/>
      <c r="S8" s="14"/>
    </row>
    <row r="9" spans="1:19" ht="23.45" customHeight="1" x14ac:dyDescent="0.2">
      <c r="B9" s="12"/>
      <c r="D9" s="931" t="s">
        <v>0</v>
      </c>
      <c r="E9" s="932"/>
      <c r="F9" s="932"/>
      <c r="G9" s="932"/>
      <c r="H9" s="932"/>
      <c r="I9" s="932"/>
      <c r="J9" s="933"/>
      <c r="K9" s="14"/>
      <c r="L9" s="14"/>
      <c r="M9" s="14"/>
      <c r="N9" s="14"/>
      <c r="O9" s="14"/>
      <c r="P9" s="14"/>
      <c r="Q9" s="14"/>
      <c r="R9" s="14"/>
      <c r="S9" s="14"/>
    </row>
    <row r="10" spans="1:19" ht="21.6" customHeight="1" thickBot="1" x14ac:dyDescent="0.25">
      <c r="B10" s="12"/>
      <c r="D10" s="934"/>
      <c r="E10" s="935"/>
      <c r="F10" s="935"/>
      <c r="G10" s="935"/>
      <c r="H10" s="935"/>
      <c r="I10" s="935"/>
      <c r="J10" s="936"/>
      <c r="K10" s="14"/>
      <c r="L10" s="14"/>
      <c r="M10" s="14"/>
      <c r="N10" s="14"/>
      <c r="P10" s="14"/>
      <c r="Q10" s="14"/>
      <c r="R10" s="14"/>
    </row>
    <row r="11" spans="1:19" ht="25.9" customHeight="1" x14ac:dyDescent="0.2">
      <c r="B11" s="12"/>
      <c r="D11" s="926" t="s">
        <v>1</v>
      </c>
      <c r="E11" s="927"/>
      <c r="F11" s="928"/>
      <c r="G11" s="928"/>
      <c r="H11" s="928"/>
      <c r="I11" s="928"/>
      <c r="J11" s="929"/>
      <c r="K11" s="14"/>
      <c r="L11" s="14"/>
      <c r="M11" s="14"/>
      <c r="N11" s="14"/>
      <c r="P11" s="14"/>
      <c r="Q11" s="14"/>
      <c r="R11" s="14"/>
    </row>
    <row r="12" spans="1:19" ht="24" customHeight="1" x14ac:dyDescent="0.2">
      <c r="B12" s="12"/>
      <c r="D12" s="915" t="s">
        <v>2</v>
      </c>
      <c r="E12" s="916"/>
      <c r="F12" s="919" t="s">
        <v>1995</v>
      </c>
      <c r="G12" s="919"/>
      <c r="H12" s="919"/>
      <c r="I12" s="919"/>
      <c r="J12" s="920"/>
      <c r="K12" s="14"/>
      <c r="L12" s="14"/>
      <c r="M12" s="14"/>
      <c r="N12" s="14"/>
      <c r="P12" s="14"/>
      <c r="Q12" s="14"/>
      <c r="R12" s="14"/>
    </row>
    <row r="13" spans="1:19" ht="21.6" customHeight="1" x14ac:dyDescent="0.2">
      <c r="B13" s="12"/>
      <c r="D13" s="915" t="s">
        <v>3</v>
      </c>
      <c r="E13" s="916"/>
      <c r="F13" s="919" t="s">
        <v>1996</v>
      </c>
      <c r="G13" s="919"/>
      <c r="H13" s="919"/>
      <c r="I13" s="919"/>
      <c r="J13" s="920"/>
      <c r="K13" s="14"/>
      <c r="L13" s="14"/>
      <c r="M13" s="14"/>
      <c r="N13" s="14"/>
      <c r="P13" s="14"/>
      <c r="Q13" s="14"/>
      <c r="R13" s="14"/>
    </row>
    <row r="14" spans="1:19" ht="22.15" customHeight="1" x14ac:dyDescent="0.2">
      <c r="B14" s="12"/>
      <c r="D14" s="915" t="s">
        <v>4</v>
      </c>
      <c r="E14" s="916"/>
      <c r="F14" s="919" t="s">
        <v>1998</v>
      </c>
      <c r="G14" s="919"/>
      <c r="H14" s="919"/>
      <c r="I14" s="919"/>
      <c r="J14" s="920"/>
      <c r="K14" s="14"/>
      <c r="L14" s="14"/>
      <c r="M14" s="14"/>
      <c r="N14" s="14"/>
      <c r="P14" s="14"/>
      <c r="Q14" s="14"/>
      <c r="R14" s="14"/>
    </row>
    <row r="15" spans="1:19" ht="21.6" customHeight="1" x14ac:dyDescent="0.2">
      <c r="B15" s="12"/>
      <c r="D15" s="915" t="s">
        <v>5</v>
      </c>
      <c r="E15" s="916"/>
      <c r="F15" s="919" t="s">
        <v>2001</v>
      </c>
      <c r="G15" s="919"/>
      <c r="H15" s="919"/>
      <c r="I15" s="919"/>
      <c r="J15" s="920"/>
      <c r="K15" s="14"/>
      <c r="L15" s="14"/>
      <c r="M15" s="14"/>
      <c r="N15" s="14"/>
      <c r="P15" s="14"/>
      <c r="Q15" s="14"/>
      <c r="R15" s="14"/>
    </row>
    <row r="16" spans="1:19" ht="21" customHeight="1" x14ac:dyDescent="0.2">
      <c r="D16" s="915" t="s">
        <v>6</v>
      </c>
      <c r="E16" s="916"/>
      <c r="F16" s="919" t="s">
        <v>1999</v>
      </c>
      <c r="G16" s="919"/>
      <c r="H16" s="919"/>
      <c r="I16" s="919"/>
      <c r="J16" s="920"/>
      <c r="K16" s="14"/>
      <c r="L16" s="14"/>
      <c r="M16" s="14"/>
      <c r="N16" s="14"/>
      <c r="P16" s="14"/>
      <c r="Q16" s="14"/>
      <c r="R16" s="14"/>
    </row>
    <row r="17" spans="3:18" ht="21" customHeight="1" x14ac:dyDescent="0.2">
      <c r="D17" s="915" t="s">
        <v>7</v>
      </c>
      <c r="E17" s="916"/>
      <c r="F17" s="921">
        <v>45912</v>
      </c>
      <c r="G17" s="921"/>
      <c r="H17" s="921"/>
      <c r="I17" s="921"/>
      <c r="J17" s="922"/>
      <c r="K17" s="14"/>
      <c r="L17" s="14"/>
      <c r="M17" s="14"/>
      <c r="N17" s="14"/>
      <c r="P17" s="14"/>
      <c r="Q17" s="14"/>
      <c r="R17" s="14"/>
    </row>
    <row r="18" spans="3:18" ht="23.45" customHeight="1" x14ac:dyDescent="0.2">
      <c r="D18" s="915" t="s">
        <v>8</v>
      </c>
      <c r="E18" s="916"/>
      <c r="F18" s="919" t="s">
        <v>1997</v>
      </c>
      <c r="G18" s="919"/>
      <c r="H18" s="919"/>
      <c r="I18" s="919"/>
      <c r="J18" s="920"/>
      <c r="K18" s="14"/>
      <c r="L18" s="14"/>
      <c r="M18" s="14"/>
      <c r="N18" s="14"/>
      <c r="P18" s="14"/>
      <c r="Q18" s="14"/>
      <c r="R18" s="14"/>
    </row>
    <row r="19" spans="3:18" ht="24.6" customHeight="1" x14ac:dyDescent="0.2">
      <c r="D19" s="915" t="s">
        <v>9</v>
      </c>
      <c r="E19" s="916"/>
      <c r="F19" s="919" t="s">
        <v>2000</v>
      </c>
      <c r="G19" s="919"/>
      <c r="H19" s="919"/>
      <c r="I19" s="919"/>
      <c r="J19" s="920"/>
      <c r="K19" s="14"/>
      <c r="L19" s="14"/>
      <c r="M19" s="14"/>
      <c r="N19" s="14"/>
      <c r="P19" s="14"/>
      <c r="Q19" s="14"/>
      <c r="R19" s="14"/>
    </row>
    <row r="20" spans="3:18" ht="24.6" customHeight="1" x14ac:dyDescent="0.2">
      <c r="D20" s="896" t="s">
        <v>10</v>
      </c>
      <c r="E20" s="897"/>
      <c r="F20" s="910"/>
      <c r="G20" s="911"/>
      <c r="H20" s="911"/>
      <c r="I20" s="911"/>
      <c r="J20" s="912"/>
      <c r="K20" s="14"/>
      <c r="L20" s="14"/>
      <c r="M20" s="14"/>
      <c r="N20" s="14"/>
      <c r="P20" s="14"/>
      <c r="Q20" s="14"/>
      <c r="R20" s="14"/>
    </row>
    <row r="21" spans="3:18" ht="19.899999999999999" customHeight="1" x14ac:dyDescent="0.2">
      <c r="D21" s="917" t="s">
        <v>11</v>
      </c>
      <c r="E21" s="918"/>
      <c r="F21" s="913"/>
      <c r="G21" s="913"/>
      <c r="H21" s="913"/>
      <c r="I21" s="913"/>
      <c r="J21" s="914"/>
      <c r="K21" s="14"/>
      <c r="L21" s="14"/>
      <c r="M21" s="14"/>
      <c r="N21" s="14"/>
      <c r="P21" s="14"/>
      <c r="Q21" s="14"/>
      <c r="R21" s="14"/>
    </row>
    <row r="22" spans="3:18" ht="19.899999999999999" customHeight="1" x14ac:dyDescent="0.2">
      <c r="D22" s="896" t="s">
        <v>12</v>
      </c>
      <c r="E22" s="897"/>
      <c r="F22" s="898">
        <v>0.1</v>
      </c>
      <c r="G22" s="899"/>
      <c r="H22" s="900"/>
      <c r="I22" s="906" t="str">
        <f>IF(OR(F22&gt;=10%,F22=""),"","Target set below 10% ▲")</f>
        <v/>
      </c>
      <c r="J22" s="907"/>
      <c r="K22" s="14"/>
      <c r="L22" s="14"/>
      <c r="M22" s="14"/>
      <c r="N22" s="14"/>
      <c r="P22" s="14"/>
      <c r="Q22" s="14"/>
      <c r="R22" s="14"/>
    </row>
    <row r="23" spans="3:18" ht="30.95" customHeight="1" x14ac:dyDescent="0.2">
      <c r="D23" s="908" t="s">
        <v>13</v>
      </c>
      <c r="E23" s="909"/>
      <c r="F23" s="901"/>
      <c r="G23" s="902"/>
      <c r="H23" s="903"/>
      <c r="I23" s="904" t="str">
        <f>IF(F23="Yes","Irreplaceable habitats at baseline, you must fill in the irreplaceable habitat tab ⚠",IF(F23="","You must specify if irreplaceable habitats are on-site at baseline ▲",""))</f>
        <v>You must specify if irreplaceable habitats are on-site at baseline ▲</v>
      </c>
      <c r="J23" s="905"/>
      <c r="K23" s="14"/>
      <c r="L23" s="14"/>
      <c r="M23" s="14"/>
      <c r="N23" s="14"/>
      <c r="P23" s="14"/>
      <c r="Q23" s="14"/>
      <c r="R23" s="14"/>
    </row>
    <row r="24" spans="3:18" ht="36.950000000000003" customHeight="1" x14ac:dyDescent="0.2">
      <c r="D24" s="961" t="s">
        <v>14</v>
      </c>
      <c r="E24" s="962"/>
      <c r="F24" s="976">
        <f>'Detailed Results'!D21+'Irreplaceable Habitats'!S38</f>
        <v>1210.9323299682765</v>
      </c>
      <c r="G24" s="977"/>
      <c r="H24" s="977"/>
      <c r="I24" s="600" t="s">
        <v>15</v>
      </c>
      <c r="J24" s="601">
        <f>'Irreplaceable Habitats'!M32</f>
        <v>0</v>
      </c>
      <c r="K24" s="14"/>
      <c r="L24" s="14"/>
      <c r="M24" s="14"/>
      <c r="N24" s="14"/>
      <c r="P24" s="14"/>
      <c r="Q24" s="14"/>
      <c r="R24" s="14"/>
    </row>
    <row r="25" spans="3:18" ht="17.100000000000001" customHeight="1" x14ac:dyDescent="0.2">
      <c r="P25" s="14"/>
      <c r="Q25" s="14"/>
      <c r="R25" s="14"/>
    </row>
    <row r="26" spans="3:18" ht="14.1" customHeight="1" x14ac:dyDescent="0.2">
      <c r="P26" s="14"/>
      <c r="Q26" s="14"/>
      <c r="R26" s="14"/>
    </row>
    <row r="27" spans="3:18" ht="51" hidden="1" customHeight="1" thickBot="1" x14ac:dyDescent="0.25">
      <c r="D27" s="941" t="s">
        <v>16</v>
      </c>
      <c r="E27" s="942"/>
      <c r="F27" s="943"/>
      <c r="G27" s="943"/>
      <c r="H27" s="943"/>
      <c r="I27" s="944" t="str">
        <f>IF(F27="Yes", "Only acceptable in exceptionally rare circumstances, ensure any deviations have been agreed with the consenting body ⚠", "")</f>
        <v/>
      </c>
      <c r="J27" s="945"/>
      <c r="P27" s="14"/>
      <c r="Q27" s="14"/>
      <c r="R27" s="14"/>
    </row>
    <row r="28" spans="3:18" ht="16.5" customHeight="1" thickBot="1" x14ac:dyDescent="0.25">
      <c r="C28" s="14"/>
      <c r="K28" s="14"/>
      <c r="P28" s="14"/>
      <c r="Q28" s="14"/>
      <c r="R28" s="14"/>
    </row>
    <row r="29" spans="3:18" ht="20.25" customHeight="1" thickBot="1" x14ac:dyDescent="0.35">
      <c r="C29" s="14"/>
      <c r="D29" s="965" t="s">
        <v>17</v>
      </c>
      <c r="E29" s="966"/>
      <c r="F29" s="966"/>
      <c r="G29" s="966"/>
      <c r="H29" s="966"/>
      <c r="I29" s="966"/>
      <c r="J29" s="967"/>
      <c r="K29" s="14"/>
      <c r="L29" s="15"/>
      <c r="M29" s="15"/>
      <c r="N29" s="15"/>
      <c r="P29" s="14"/>
      <c r="Q29" s="14"/>
      <c r="R29" s="14"/>
    </row>
    <row r="30" spans="3:18" ht="20.25" customHeight="1" x14ac:dyDescent="0.3">
      <c r="C30" s="14"/>
      <c r="D30" s="972" t="s">
        <v>18</v>
      </c>
      <c r="E30" s="973"/>
      <c r="F30" s="974" t="s">
        <v>19</v>
      </c>
      <c r="G30" s="974"/>
      <c r="H30" s="974"/>
      <c r="I30" s="974"/>
      <c r="J30" s="975"/>
      <c r="K30" s="14"/>
      <c r="L30" s="15"/>
      <c r="M30" s="15"/>
      <c r="N30" s="15"/>
      <c r="P30" s="14"/>
      <c r="Q30" s="14"/>
      <c r="R30" s="14"/>
    </row>
    <row r="31" spans="3:18" ht="16.5" customHeight="1" x14ac:dyDescent="0.25">
      <c r="D31" s="968" t="s">
        <v>20</v>
      </c>
      <c r="E31" s="969"/>
      <c r="F31" s="970" t="s">
        <v>21</v>
      </c>
      <c r="G31" s="970"/>
      <c r="H31" s="970"/>
      <c r="I31" s="970"/>
      <c r="J31" s="971"/>
      <c r="P31" s="14"/>
      <c r="Q31" s="14"/>
      <c r="R31" s="14"/>
    </row>
    <row r="32" spans="3:18" ht="16.5" customHeight="1" x14ac:dyDescent="0.25">
      <c r="D32" s="950"/>
      <c r="E32" s="951"/>
      <c r="F32" s="952" t="s">
        <v>22</v>
      </c>
      <c r="G32" s="953"/>
      <c r="H32" s="953"/>
      <c r="I32" s="953"/>
      <c r="J32" s="954"/>
      <c r="P32" s="14"/>
      <c r="Q32" s="14"/>
      <c r="R32" s="14"/>
    </row>
    <row r="33" spans="4:18" ht="16.5" customHeight="1" x14ac:dyDescent="0.25">
      <c r="D33" s="963"/>
      <c r="E33" s="964"/>
      <c r="F33" s="948" t="s">
        <v>23</v>
      </c>
      <c r="G33" s="948"/>
      <c r="H33" s="948"/>
      <c r="I33" s="948"/>
      <c r="J33" s="949"/>
      <c r="K33" s="14"/>
      <c r="L33" s="14"/>
      <c r="M33" s="14"/>
      <c r="N33" s="14"/>
      <c r="P33" s="14"/>
      <c r="Q33" s="14"/>
      <c r="R33" s="14"/>
    </row>
    <row r="34" spans="4:18" ht="16.5" customHeight="1" x14ac:dyDescent="0.25">
      <c r="D34" s="946"/>
      <c r="E34" s="947"/>
      <c r="F34" s="948" t="s">
        <v>24</v>
      </c>
      <c r="G34" s="948"/>
      <c r="H34" s="948"/>
      <c r="I34" s="948"/>
      <c r="J34" s="949"/>
      <c r="K34" s="14"/>
      <c r="L34" s="14"/>
      <c r="M34" s="14"/>
      <c r="N34" s="14"/>
      <c r="P34" s="14"/>
      <c r="Q34" s="14"/>
      <c r="R34" s="14"/>
    </row>
    <row r="35" spans="4:18" ht="16.5" customHeight="1" thickBot="1" x14ac:dyDescent="0.3">
      <c r="D35" s="937"/>
      <c r="E35" s="938"/>
      <c r="F35" s="939" t="s">
        <v>25</v>
      </c>
      <c r="G35" s="939"/>
      <c r="H35" s="939"/>
      <c r="I35" s="939"/>
      <c r="J35" s="940"/>
      <c r="K35" s="14"/>
      <c r="L35" s="14"/>
      <c r="M35" s="14"/>
      <c r="N35" s="14"/>
      <c r="P35" s="14"/>
      <c r="Q35" s="14"/>
      <c r="R35" s="14"/>
    </row>
    <row r="36" spans="4:18" ht="16.5" customHeight="1" x14ac:dyDescent="0.2">
      <c r="D36" s="14"/>
      <c r="E36" s="14"/>
      <c r="F36" s="14"/>
      <c r="G36" s="14"/>
      <c r="H36" s="14"/>
      <c r="I36" s="14"/>
      <c r="J36" s="14"/>
      <c r="K36" s="14"/>
      <c r="L36" s="14"/>
      <c r="M36" s="14"/>
      <c r="N36" s="14"/>
      <c r="P36" s="14"/>
      <c r="Q36" s="14"/>
      <c r="R36" s="14"/>
    </row>
    <row r="37" spans="4:18" ht="24" customHeight="1" x14ac:dyDescent="0.2">
      <c r="D37" s="14"/>
      <c r="E37" s="14"/>
      <c r="F37" s="14"/>
      <c r="G37" s="14"/>
      <c r="H37" s="14"/>
      <c r="I37" s="14"/>
      <c r="J37" s="14"/>
      <c r="K37" s="14"/>
      <c r="L37" s="14"/>
      <c r="M37" s="14"/>
      <c r="N37" s="14"/>
      <c r="P37" s="14"/>
      <c r="Q37" s="14"/>
      <c r="R37" s="14"/>
    </row>
    <row r="38" spans="4:18" ht="15.75" x14ac:dyDescent="0.2">
      <c r="D38" s="14"/>
      <c r="E38" s="14"/>
      <c r="F38" s="14"/>
      <c r="G38" s="14"/>
      <c r="H38" s="14"/>
      <c r="I38" s="14"/>
      <c r="J38" s="14"/>
      <c r="K38" s="14"/>
      <c r="L38" s="14"/>
      <c r="M38" s="14"/>
      <c r="N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15.75" x14ac:dyDescent="0.2">
      <c r="D45" s="14"/>
      <c r="E45" s="14"/>
      <c r="F45" s="14"/>
      <c r="G45" s="14"/>
      <c r="H45" s="14"/>
      <c r="I45" s="14"/>
      <c r="J45" s="14"/>
      <c r="K45" s="14"/>
      <c r="L45" s="14"/>
      <c r="M45" s="14"/>
      <c r="N45" s="14"/>
      <c r="O45" s="14"/>
      <c r="P45" s="14"/>
      <c r="Q45" s="14"/>
      <c r="R45" s="14"/>
    </row>
    <row r="46" spans="4:18" ht="15.75" x14ac:dyDescent="0.2">
      <c r="D46" s="14"/>
      <c r="E46" s="14"/>
      <c r="F46" s="14"/>
      <c r="G46" s="14"/>
      <c r="H46" s="14"/>
      <c r="I46" s="14"/>
      <c r="J46" s="14"/>
      <c r="K46" s="14"/>
      <c r="L46" s="14"/>
      <c r="M46" s="14"/>
      <c r="N46" s="14"/>
      <c r="O46" s="14"/>
      <c r="P46" s="14"/>
      <c r="Q46" s="14"/>
      <c r="R46" s="14"/>
    </row>
    <row r="47" spans="4:18" ht="15.75" x14ac:dyDescent="0.2">
      <c r="D47" s="14"/>
      <c r="E47" s="14"/>
      <c r="F47" s="14"/>
      <c r="G47" s="14"/>
      <c r="H47" s="14"/>
      <c r="I47" s="14"/>
      <c r="J47" s="14"/>
      <c r="K47" s="14"/>
      <c r="L47" s="14"/>
      <c r="M47" s="14"/>
      <c r="N47" s="14"/>
      <c r="O47" s="14"/>
      <c r="P47" s="14"/>
      <c r="Q47" s="14"/>
      <c r="R47" s="14"/>
    </row>
    <row r="48" spans="4:18" ht="15.75" x14ac:dyDescent="0.2">
      <c r="D48" s="14"/>
      <c r="E48" s="14"/>
      <c r="F48" s="14"/>
      <c r="G48" s="14"/>
      <c r="H48" s="14"/>
      <c r="I48" s="14"/>
      <c r="J48" s="14"/>
      <c r="K48" s="14"/>
      <c r="L48" s="14"/>
      <c r="M48" s="14"/>
      <c r="N48" s="14"/>
      <c r="O48" s="14"/>
      <c r="P48" s="14"/>
      <c r="Q48" s="14"/>
      <c r="R48" s="14"/>
    </row>
    <row r="49" spans="4:18" ht="15.75" x14ac:dyDescent="0.2">
      <c r="D49" s="14"/>
      <c r="E49" s="14"/>
      <c r="F49" s="14"/>
      <c r="G49" s="14"/>
      <c r="H49" s="14"/>
      <c r="I49" s="14"/>
      <c r="J49" s="14"/>
      <c r="K49" s="14"/>
      <c r="L49" s="14"/>
      <c r="M49" s="14"/>
      <c r="N49" s="14"/>
      <c r="O49" s="14"/>
      <c r="P49" s="14"/>
      <c r="Q49" s="14"/>
      <c r="R49" s="14"/>
    </row>
    <row r="50" spans="4:18" ht="15.75" x14ac:dyDescent="0.2">
      <c r="D50" s="14"/>
      <c r="E50" s="14"/>
      <c r="F50" s="14"/>
      <c r="G50" s="14"/>
      <c r="H50" s="14"/>
      <c r="I50" s="14"/>
      <c r="J50" s="14"/>
      <c r="K50" s="14"/>
      <c r="L50" s="14"/>
      <c r="M50" s="14"/>
      <c r="N50" s="14"/>
      <c r="O50" s="14"/>
      <c r="P50" s="14"/>
      <c r="Q50" s="14"/>
      <c r="R50" s="14"/>
    </row>
    <row r="51" spans="4:18" ht="15.75" x14ac:dyDescent="0.2">
      <c r="D51" s="14"/>
      <c r="E51" s="14"/>
      <c r="F51" s="14"/>
      <c r="G51" s="14"/>
      <c r="H51" s="14"/>
      <c r="I51" s="14"/>
      <c r="J51" s="14"/>
      <c r="K51" s="14"/>
      <c r="L51" s="14"/>
      <c r="M51" s="14"/>
      <c r="N51" s="14"/>
      <c r="O51" s="14"/>
      <c r="P51" s="14"/>
      <c r="Q51" s="14"/>
      <c r="R51" s="14"/>
    </row>
    <row r="52" spans="4:18" ht="15.75" x14ac:dyDescent="0.2">
      <c r="D52" s="14"/>
      <c r="E52" s="14"/>
      <c r="F52" s="14"/>
      <c r="G52" s="14"/>
      <c r="H52" s="14"/>
      <c r="I52" s="14"/>
      <c r="J52" s="14"/>
      <c r="K52" s="14"/>
      <c r="L52" s="14"/>
      <c r="M52" s="14"/>
      <c r="N52" s="14"/>
      <c r="O52" s="14"/>
      <c r="P52" s="14"/>
      <c r="Q52" s="14"/>
      <c r="R52" s="14"/>
    </row>
    <row r="53" spans="4:18" ht="21" customHeight="1" x14ac:dyDescent="0.2">
      <c r="D53" s="14"/>
      <c r="E53" s="14"/>
      <c r="F53" s="14"/>
      <c r="G53" s="14"/>
      <c r="H53" s="14"/>
      <c r="I53" s="14"/>
      <c r="J53" s="14"/>
      <c r="K53" s="14"/>
      <c r="L53" s="14"/>
      <c r="M53" s="14"/>
      <c r="N53" s="14"/>
      <c r="O53" s="14"/>
      <c r="P53" s="14"/>
      <c r="Q53" s="14"/>
      <c r="R53" s="14"/>
    </row>
    <row r="54" spans="4:18" ht="16.5" thickBot="1" x14ac:dyDescent="0.25">
      <c r="P54" s="14"/>
      <c r="Q54" s="14"/>
      <c r="R54" s="14"/>
    </row>
    <row r="55" spans="4:18" ht="15" thickBot="1" x14ac:dyDescent="0.25">
      <c r="D55" s="959" t="s">
        <v>26</v>
      </c>
      <c r="E55" s="960"/>
      <c r="F55" s="955"/>
      <c r="G55" s="956"/>
      <c r="I55" s="957" t="s">
        <v>27</v>
      </c>
      <c r="J55" s="958"/>
      <c r="K55" s="955"/>
      <c r="L55" s="955"/>
      <c r="M55" s="955"/>
      <c r="N55" s="955"/>
      <c r="O55" s="956"/>
    </row>
    <row r="56" spans="4:18" ht="14.25" x14ac:dyDescent="0.2"/>
    <row r="57" spans="4:18" ht="14.25" x14ac:dyDescent="0.2"/>
    <row r="58" spans="4:18" ht="14.25" x14ac:dyDescent="0.2"/>
    <row r="59" spans="4:18" ht="6" customHeight="1" x14ac:dyDescent="0.2"/>
    <row r="60" spans="4:18" ht="14.25" x14ac:dyDescent="0.2"/>
    <row r="61" spans="4:18" ht="14.25" x14ac:dyDescent="0.2"/>
    <row r="62" spans="4:18" ht="14.25" x14ac:dyDescent="0.2"/>
    <row r="63" spans="4:18" ht="63.75" customHeight="1" x14ac:dyDescent="0.2"/>
    <row r="64" spans="4:18" ht="105.75" customHeight="1" x14ac:dyDescent="0.2"/>
    <row r="65" spans="4:15" ht="48.75" customHeight="1" thickBot="1" x14ac:dyDescent="0.25"/>
    <row r="66" spans="4:15" ht="16.5" customHeight="1" thickBot="1" x14ac:dyDescent="0.25">
      <c r="D66" s="957" t="s">
        <v>28</v>
      </c>
      <c r="E66" s="958"/>
      <c r="F66" s="955"/>
      <c r="G66" s="956"/>
      <c r="I66" s="957" t="s">
        <v>29</v>
      </c>
      <c r="J66" s="958"/>
      <c r="K66" s="955"/>
      <c r="L66" s="955"/>
      <c r="M66" s="955"/>
      <c r="N66" s="955"/>
      <c r="O66" s="956"/>
    </row>
    <row r="67" spans="4:15" ht="105.75" customHeight="1" x14ac:dyDescent="0.2"/>
    <row r="68" spans="4:15" ht="105.75" customHeight="1" x14ac:dyDescent="0.2"/>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F23:F24 F27">
    <cfRule type="containsText" dxfId="688" priority="10" operator="containsText" text="No">
      <formula>NOT(ISERROR(SEARCH("No",F23)))</formula>
    </cfRule>
    <cfRule type="containsText" dxfId="687" priority="11" operator="containsText" text="Yes">
      <formula>NOT(ISERROR(SEARCH("Yes",F23)))</formula>
    </cfRule>
  </conditionalFormatting>
  <conditionalFormatting sqref="I22:I23">
    <cfRule type="containsText" dxfId="686" priority="9" operator="containsText" text="▲">
      <formula>NOT(ISERROR(SEARCH("▲",I22)))</formula>
    </cfRule>
  </conditionalFormatting>
  <conditionalFormatting sqref="I23">
    <cfRule type="containsText" dxfId="685" priority="8" operator="containsText" text="tab">
      <formula>NOT(ISERROR(SEARCH("tab",I23)))</formula>
    </cfRule>
  </conditionalFormatting>
  <conditionalFormatting sqref="I27">
    <cfRule type="containsText" dxfId="684" priority="6" operator="containsText" text="tab">
      <formula>NOT(ISERROR(SEARCH("tab",I27)))</formula>
    </cfRule>
    <cfRule type="containsText" dxfId="683" priority="7" operator="containsText" text="▲">
      <formula>NOT(ISERROR(SEARCH("▲",I27)))</formula>
    </cfRule>
  </conditionalFormatting>
  <conditionalFormatting sqref="I24:J24">
    <cfRule type="containsText" dxfId="682" priority="2" operator="containsText" text="tab">
      <formula>NOT(ISERROR(SEARCH("tab",I24)))</formula>
    </cfRule>
    <cfRule type="containsText" dxfId="681" priority="3" operator="containsText" text="▲">
      <formula>NOT(ISERROR(SEARCH("▲",I24)))</formula>
    </cfRule>
  </conditionalFormatting>
  <conditionalFormatting sqref="I27:J27">
    <cfRule type="containsBlanks" dxfId="680"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topLeftCell="L1" zoomScale="80" zoomScaleNormal="80" workbookViewId="0">
      <pane ySplit="11" topLeftCell="A242" activePane="bottomLeft" state="frozen"/>
      <selection pane="bottomLeft" activeCell="W260" sqref="W260"/>
    </sheetView>
  </sheetViews>
  <sheetFormatPr defaultColWidth="0" defaultRowHeight="0" customHeight="1" zeroHeight="1" x14ac:dyDescent="0.2"/>
  <cols>
    <col min="1" max="1" width="2.85546875" style="30" customWidth="1"/>
    <col min="2" max="2" width="14.140625" style="30" customWidth="1"/>
    <col min="3" max="3" width="10.5703125" style="30" customWidth="1"/>
    <col min="4" max="4" width="62.7109375" style="30" customWidth="1"/>
    <col min="5" max="5" width="10.42578125" style="30" customWidth="1"/>
    <col min="6" max="6" width="18.85546875" style="30" customWidth="1"/>
    <col min="7" max="7" width="10.5703125" style="30" customWidth="1"/>
    <col min="8" max="8" width="12.5703125" style="30" bestFit="1" customWidth="1"/>
    <col min="9" max="9" width="8.7109375" style="30" customWidth="1"/>
    <col min="10" max="10" width="41.7109375" style="30" customWidth="1"/>
    <col min="11" max="11" width="16.85546875" style="30" customWidth="1"/>
    <col min="12" max="12" width="12.85546875" style="30" customWidth="1"/>
    <col min="13" max="13" width="19.42578125" style="30" customWidth="1"/>
    <col min="14" max="14" width="16.42578125" style="30" customWidth="1"/>
    <col min="15" max="15" width="21.85546875" style="30" customWidth="1"/>
    <col min="16" max="16" width="33.28515625" style="30" customWidth="1"/>
    <col min="17" max="17" width="19.140625" style="30" customWidth="1"/>
    <col min="18" max="18" width="15.28515625" style="30" customWidth="1"/>
    <col min="19" max="19" width="13.42578125" style="30" customWidth="1"/>
    <col min="20" max="20" width="18.42578125" style="30" customWidth="1"/>
    <col min="21" max="21" width="13.7109375" style="30" customWidth="1"/>
    <col min="22" max="22" width="11.85546875" style="30" customWidth="1"/>
    <col min="23" max="23" width="12.7109375" style="30" customWidth="1"/>
    <col min="24" max="24" width="42.42578125" style="30" customWidth="1"/>
    <col min="25" max="25" width="43.140625" style="30" customWidth="1"/>
    <col min="26" max="26" width="12.85546875" style="30" customWidth="1"/>
    <col min="27" max="31" width="8.85546875" style="30" customWidth="1"/>
    <col min="32" max="32" width="8.85546875" style="30" hidden="1" customWidth="1"/>
    <col min="33" max="33" width="15.85546875" style="30" hidden="1" customWidth="1"/>
    <col min="34" max="16384" width="8.85546875" style="30" hidden="1"/>
  </cols>
  <sheetData>
    <row r="1" spans="2:33" ht="15.75" customHeight="1" thickBot="1" x14ac:dyDescent="0.25"/>
    <row r="2" spans="2:33" ht="21.6" customHeight="1" thickBot="1" x14ac:dyDescent="0.3">
      <c r="B2" s="1551" t="str">
        <f>CONCATENATE("Project Name:", " ", Start!F12, "     ", "Map Reference:", " ", Start!K55)</f>
        <v xml:space="preserve">Project Name: Botley West Solar Farm     Map Reference: </v>
      </c>
      <c r="C2" s="1552"/>
      <c r="D2" s="1553"/>
      <c r="F2" s="1401" t="s">
        <v>381</v>
      </c>
      <c r="G2" s="1402"/>
      <c r="H2" s="1402"/>
      <c r="I2" s="1402"/>
      <c r="J2" s="1403"/>
    </row>
    <row r="3" spans="2:33" ht="15" customHeight="1" x14ac:dyDescent="0.2">
      <c r="B3" s="1509" t="str">
        <f ca="1">MID(CELL("filename",A1),FIND("]",CELL("filename",A1))+1,256)</f>
        <v>B-2 On-Site Hedge Creation</v>
      </c>
      <c r="C3" s="1510"/>
      <c r="D3" s="1511"/>
      <c r="F3" s="1502" t="s">
        <v>264</v>
      </c>
      <c r="G3" s="1503"/>
      <c r="H3" s="1503"/>
      <c r="I3" s="1498">
        <f ca="1">'Headline Results'!H48</f>
        <v>332.1931023132538</v>
      </c>
      <c r="J3" s="1499"/>
      <c r="M3" s="1460" t="str">
        <f>IF(OR(COUNTIF($M$12:M259,"*30+*")&gt;0,COUNTIF($Q$12:Q259,"*30+*")&gt;0),"Note; Habitat selected has a time to target condition greater than 30 years. Non standard agreement may be required. ⚠","")</f>
        <v/>
      </c>
      <c r="N3" s="1460"/>
      <c r="O3" s="1460"/>
      <c r="P3" s="1460"/>
      <c r="Q3" s="1460"/>
      <c r="R3" s="1460"/>
    </row>
    <row r="4" spans="2:33" ht="15.75" customHeight="1" thickBot="1" x14ac:dyDescent="0.25">
      <c r="B4" s="1512"/>
      <c r="C4" s="1513"/>
      <c r="D4" s="1514"/>
      <c r="F4" s="1580" t="s">
        <v>266</v>
      </c>
      <c r="G4" s="1581"/>
      <c r="H4" s="1581"/>
      <c r="I4" s="1574">
        <f ca="1">'Headline Results'!H52</f>
        <v>0.59183226774872055</v>
      </c>
      <c r="J4" s="1575"/>
      <c r="M4" s="1460"/>
      <c r="N4" s="1460"/>
      <c r="O4" s="1460"/>
      <c r="P4" s="1460"/>
      <c r="Q4" s="1460"/>
      <c r="R4" s="1460"/>
    </row>
    <row r="5" spans="2:33" ht="15.75" customHeight="1" thickBot="1" x14ac:dyDescent="0.25">
      <c r="F5" s="1579" t="s">
        <v>268</v>
      </c>
      <c r="G5" s="1576"/>
      <c r="H5" s="1576"/>
      <c r="I5" s="1576" t="str" cm="1">
        <f t="array" aca="1" ref="I5" ca="1">IF(OR('Trading Summary Hedgerows'!G5:H8="No ▲"), "No - check trading summary ▲", "Yes ✓")</f>
        <v>Yes ✓</v>
      </c>
      <c r="J5" s="1577"/>
      <c r="M5" s="1460"/>
      <c r="N5" s="1460"/>
      <c r="O5" s="1460"/>
      <c r="P5" s="1460"/>
      <c r="Q5" s="1460"/>
      <c r="R5" s="1460"/>
    </row>
    <row r="6" spans="2:33" ht="15.75" customHeight="1" x14ac:dyDescent="0.2">
      <c r="M6" s="312"/>
      <c r="N6" s="312"/>
      <c r="O6" s="312"/>
      <c r="P6" s="312"/>
      <c r="Q6" s="312"/>
    </row>
    <row r="7" spans="2:33" ht="15.75" customHeight="1" x14ac:dyDescent="0.2">
      <c r="B7" s="102"/>
      <c r="C7" s="102"/>
      <c r="M7" s="312"/>
      <c r="N7" s="312"/>
      <c r="O7" s="312"/>
      <c r="P7" s="312"/>
      <c r="Q7" s="312"/>
    </row>
    <row r="8" spans="2:33" ht="14.25" x14ac:dyDescent="0.2"/>
    <row r="9" spans="2:33" ht="19.899999999999999" customHeight="1" thickBot="1" x14ac:dyDescent="0.25"/>
    <row r="10" spans="2:33" ht="44.1" customHeight="1" thickBot="1" x14ac:dyDescent="0.25">
      <c r="B10" s="102"/>
      <c r="C10" s="102"/>
      <c r="D10" s="1570" t="s">
        <v>390</v>
      </c>
      <c r="E10" s="1572"/>
      <c r="F10" s="1570" t="s">
        <v>270</v>
      </c>
      <c r="G10" s="1572"/>
      <c r="H10" s="1570" t="s">
        <v>358</v>
      </c>
      <c r="I10" s="1572"/>
      <c r="J10" s="1570" t="s">
        <v>272</v>
      </c>
      <c r="K10" s="1571"/>
      <c r="L10" s="1572"/>
      <c r="M10" s="1570" t="s">
        <v>315</v>
      </c>
      <c r="N10" s="1571"/>
      <c r="O10" s="1571"/>
      <c r="P10" s="1571"/>
      <c r="Q10" s="1571"/>
      <c r="R10" s="1572"/>
      <c r="S10" s="1570" t="s">
        <v>338</v>
      </c>
      <c r="T10" s="1571"/>
      <c r="U10" s="1571"/>
      <c r="V10" s="1572"/>
      <c r="W10" s="1534" t="s">
        <v>391</v>
      </c>
      <c r="X10" s="1561" t="s">
        <v>277</v>
      </c>
      <c r="Y10" s="1558"/>
    </row>
    <row r="11" spans="2:33" ht="57.75" thickBot="1" x14ac:dyDescent="0.25">
      <c r="B11" s="140" t="s">
        <v>340</v>
      </c>
      <c r="C11" s="144" t="s">
        <v>392</v>
      </c>
      <c r="D11" s="132" t="s">
        <v>33</v>
      </c>
      <c r="E11" s="861" t="s">
        <v>34</v>
      </c>
      <c r="F11" s="862" t="s">
        <v>270</v>
      </c>
      <c r="G11" s="752" t="s">
        <v>287</v>
      </c>
      <c r="H11" s="132" t="s">
        <v>271</v>
      </c>
      <c r="I11" s="752" t="s">
        <v>287</v>
      </c>
      <c r="J11" s="132" t="s">
        <v>272</v>
      </c>
      <c r="K11" s="811" t="s">
        <v>272</v>
      </c>
      <c r="L11" s="752" t="s">
        <v>318</v>
      </c>
      <c r="M11" s="132" t="s">
        <v>393</v>
      </c>
      <c r="N11" s="811" t="s">
        <v>320</v>
      </c>
      <c r="O11" s="811" t="s">
        <v>321</v>
      </c>
      <c r="P11" s="811" t="s">
        <v>322</v>
      </c>
      <c r="Q11" s="811" t="s">
        <v>323</v>
      </c>
      <c r="R11" s="752" t="s">
        <v>324</v>
      </c>
      <c r="S11" s="132" t="s">
        <v>325</v>
      </c>
      <c r="T11" s="811" t="s">
        <v>1682</v>
      </c>
      <c r="U11" s="811" t="s">
        <v>327</v>
      </c>
      <c r="V11" s="752" t="s">
        <v>328</v>
      </c>
      <c r="W11" s="1567"/>
      <c r="X11" s="126" t="s">
        <v>296</v>
      </c>
      <c r="Y11" s="861" t="s">
        <v>297</v>
      </c>
      <c r="Z11" s="48" t="s">
        <v>298</v>
      </c>
      <c r="AG11" s="101" t="s">
        <v>281</v>
      </c>
    </row>
    <row r="12" spans="2:33" ht="28.5" x14ac:dyDescent="0.2">
      <c r="B12" s="291">
        <v>1</v>
      </c>
      <c r="C12" s="166">
        <v>1</v>
      </c>
      <c r="D12" s="63" t="s">
        <v>171</v>
      </c>
      <c r="E12" s="53">
        <v>0.27113622920864711</v>
      </c>
      <c r="F12" s="411" t="str">
        <f>IF(D12="","",VLOOKUP(D12,'G-6 Hedgerow Data'!$B$2:$AG$15,2,FALSE))</f>
        <v>Medium</v>
      </c>
      <c r="G12" s="363">
        <f>IF(D12="","",VLOOKUP(D12,'G-6 Hedgerow Data'!$B$2:$AG$15,3,FALSE))</f>
        <v>4</v>
      </c>
      <c r="H12" s="114" t="s">
        <v>68</v>
      </c>
      <c r="I12" s="363">
        <f>IFERROR(VLOOKUP(H12,'G-1 All Habitats'!$Z$2:$AA$9,2,FALSE),"")</f>
        <v>3</v>
      </c>
      <c r="J12" s="114" t="s">
        <v>1037</v>
      </c>
      <c r="K12" s="370" t="str">
        <f>IF(J12="","",IF(VLOOKUP(J12,'G-3 Multipliers'!$L$3:$N$6,2,FALSE)=0,"Spatial Data Missing ⚠",VLOOKUP(J12,'G-3 Multipliers'!$L$3:$N$6,2,FALSE)))</f>
        <v>Low Strategic Significance</v>
      </c>
      <c r="L12" s="368">
        <f>IF(J12="","",IF(VLOOKUP(J12,'G-3 Multipliers'!$L$3:$N$6,3,FALSE)=0,"Spatial Data Missing ⚠",VLOOKUP(J12,'G-3 Multipliers'!$L$3:$N$6,3,FALSE)))</f>
        <v>1</v>
      </c>
      <c r="M12" s="362">
        <f>IF(OR(D12="",H12=""),"",(INDEX('G-6 Hedgerow Data'!$E$3:$I$15,MATCH(D12,'G-6 Hedgerow Data'!$B$3:$B$15,0),MATCH(H12,'G-6 Hedgerow Data'!$E$2:$I$2,0))))</f>
        <v>12</v>
      </c>
      <c r="N12" s="159"/>
      <c r="O12" s="159"/>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12</v>
      </c>
      <c r="R12" s="384">
        <f t="shared" ref="R12:R75" si="0">IF(M12="","",IF(Q12="Check Data ⚠","Check Data ⚠",VLOOKUP(Q12,TemporalMultipliers,3,FALSE)))</f>
        <v>0.65212036070000001</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2.1217614670845699</v>
      </c>
      <c r="X12" s="117"/>
      <c r="Y12" s="118"/>
      <c r="Z12" s="118"/>
      <c r="AG12" s="30" t="str">
        <f>IFERROR(INDEX('G-6 Hedgerow Data'!$BJ$3:$BJ$15,MATCH(D12,'G-6 Hedgerow Data'!$B$3:$B$15,0)),"")</f>
        <v>Hedgecond1</v>
      </c>
    </row>
    <row r="13" spans="2:33" ht="28.5" x14ac:dyDescent="0.2">
      <c r="B13" s="110">
        <v>2</v>
      </c>
      <c r="C13" s="166">
        <v>2</v>
      </c>
      <c r="D13" s="63" t="s">
        <v>171</v>
      </c>
      <c r="E13" s="53">
        <v>0.31776473275325418</v>
      </c>
      <c r="F13" s="411" t="str">
        <f>IF(D13="","",VLOOKUP(D13,'G-6 Hedgerow Data'!$B$2:$AG$15,2,FALSE))</f>
        <v>Medium</v>
      </c>
      <c r="G13" s="363">
        <f>IF(D13="","",VLOOKUP(D13,'G-6 Hedgerow Data'!$B$2:$AG$15,3,FALSE))</f>
        <v>4</v>
      </c>
      <c r="H13" s="114" t="s">
        <v>68</v>
      </c>
      <c r="I13" s="363">
        <f>IFERROR(VLOOKUP(H13,'G-1 All Habitats'!$Z$2:$AA$9,2,FALSE),"")</f>
        <v>3</v>
      </c>
      <c r="J13" s="114" t="s">
        <v>1037</v>
      </c>
      <c r="K13" s="382" t="str">
        <f>IF(J13="","",IF(VLOOKUP(J13,'G-3 Multipliers'!$L$3:$N$6,2,FALSE)=0,"Spatial Data Missing ⚠",VLOOKUP(J13,'G-3 Multipliers'!$L$3:$N$6,2,FALSE)))</f>
        <v>Low Strategic Significance</v>
      </c>
      <c r="L13" s="368">
        <f>IF(J13="","",IF(VLOOKUP(J13,'G-3 Multipliers'!$L$3:$N$6,3,FALSE)=0,"Spatial Data Missing ⚠",VLOOKUP(J13,'G-3 Multipliers'!$L$3:$N$6,3,FALSE)))</f>
        <v>1</v>
      </c>
      <c r="M13" s="362">
        <f>IF(OR(D13="",H13=""),"",(INDEX('G-6 Hedgerow Data'!$E$3:$I$15,MATCH(D13,'G-6 Hedgerow Data'!$B$3:$B$15,0),MATCH(H13,'G-6 Hedgerow Data'!$E$2:$I$2,0))))</f>
        <v>12</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383">
        <f t="shared" ref="Q13:Q76" si="2">IF(M13="","",IF(P13="Error -both advance and delayed habitat creation ▲","Check Data ⚠",IF(OR(N13="30+",N13="Habitat already in target condition"),0,IF(O13="30+","30+",IF(AND(M13="30+",OR(N13="",N13=0)),"30+",IF(AND(M13="30+",N13&gt;0),30-N13,IF(M13+O13&gt;30,"30+",IF(M13+O13-N13&gt;0,M13+O13-N13,IF(M13-N13&lt;0,0,M13+O13-N13)))))))))</f>
        <v>12</v>
      </c>
      <c r="R13" s="384">
        <f t="shared" si="0"/>
        <v>0.65212036070000001</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2.4866502256894947</v>
      </c>
      <c r="X13" s="117"/>
      <c r="Y13" s="118"/>
      <c r="Z13" s="120"/>
      <c r="AG13" s="30" t="str">
        <f>IFERROR(INDEX('G-6 Hedgerow Data'!$BJ$3:$BJ$15,MATCH(D13,'G-6 Hedgerow Data'!$B$3:$B$15,0)),"")</f>
        <v>Hedgecond1</v>
      </c>
    </row>
    <row r="14" spans="2:33" ht="28.5" x14ac:dyDescent="0.2">
      <c r="B14" s="110">
        <v>3</v>
      </c>
      <c r="C14" s="166">
        <v>3</v>
      </c>
      <c r="D14" s="63" t="s">
        <v>171</v>
      </c>
      <c r="E14" s="53">
        <v>0.3103283301957982</v>
      </c>
      <c r="F14" s="411" t="str">
        <f>IF(D14="","",VLOOKUP(D14,'G-6 Hedgerow Data'!$B$2:$AG$15,2,FALSE))</f>
        <v>Medium</v>
      </c>
      <c r="G14" s="363">
        <f>IF(D14="","",VLOOKUP(D14,'G-6 Hedgerow Data'!$B$2:$AG$15,3,FALSE))</f>
        <v>4</v>
      </c>
      <c r="H14" s="114" t="s">
        <v>68</v>
      </c>
      <c r="I14" s="363">
        <f>IFERROR(VLOOKUP(H14,'G-1 All Habitats'!$Z$2:$AA$9,2,FALSE),"")</f>
        <v>3</v>
      </c>
      <c r="J14" s="114" t="s">
        <v>1037</v>
      </c>
      <c r="K14" s="382" t="str">
        <f>IF(J14="","",IF(VLOOKUP(J14,'G-3 Multipliers'!$L$3:$N$6,2,FALSE)=0,"Spatial Data Missing ⚠",VLOOKUP(J14,'G-3 Multipliers'!$L$3:$N$6,2,FALSE)))</f>
        <v>Low Strategic Significance</v>
      </c>
      <c r="L14" s="368">
        <f>IF(J14="","",IF(VLOOKUP(J14,'G-3 Multipliers'!$L$3:$N$6,3,FALSE)=0,"Spatial Data Missing ⚠",VLOOKUP(J14,'G-3 Multipliers'!$L$3:$N$6,3,FALSE)))</f>
        <v>1</v>
      </c>
      <c r="M14" s="362">
        <f>IF(OR(D14="",H14=""),"",(INDEX('G-6 Hedgerow Data'!$E$3:$I$15,MATCH(D14,'G-6 Hedgerow Data'!$B$3:$B$15,0),MATCH(H14,'G-6 Hedgerow Data'!$E$2:$I$2,0))))</f>
        <v>12</v>
      </c>
      <c r="N14" s="159"/>
      <c r="O14" s="159"/>
      <c r="P14" s="370" t="str">
        <f t="shared" si="1"/>
        <v>Standard time to target condition applied</v>
      </c>
      <c r="Q14" s="383">
        <f t="shared" si="2"/>
        <v>12</v>
      </c>
      <c r="R14" s="384">
        <f t="shared" si="0"/>
        <v>0.65212036070000001</v>
      </c>
      <c r="S14" s="398" t="str">
        <f>IF(D14="","",VLOOKUP(D14,'G-6 Hedgerow Data'!$B$3:$AG$15,31,FALSE))</f>
        <v>Low</v>
      </c>
      <c r="T14" s="370" t="str">
        <f t="shared" si="3"/>
        <v>Standard difficulty applied</v>
      </c>
      <c r="U14" s="370" t="str">
        <f t="shared" si="4"/>
        <v>Low</v>
      </c>
      <c r="V14" s="386">
        <f>IF(D14="","",VLOOKUP(S14,'G-3 Multipliers'!$P$3:$Q$6,2,FALSE))</f>
        <v>1</v>
      </c>
      <c r="W14" s="390">
        <f t="shared" si="5"/>
        <v>2.4284570714725513</v>
      </c>
      <c r="X14" s="117"/>
      <c r="Y14" s="118"/>
      <c r="Z14" s="120"/>
      <c r="AG14" s="30" t="str">
        <f>IFERROR(INDEX('G-6 Hedgerow Data'!$BJ$3:$BJ$15,MATCH(D14,'G-6 Hedgerow Data'!$B$3:$B$15,0)),"")</f>
        <v>Hedgecond1</v>
      </c>
    </row>
    <row r="15" spans="2:33" ht="28.5" x14ac:dyDescent="0.2">
      <c r="B15" s="110">
        <v>4</v>
      </c>
      <c r="C15" s="166">
        <v>4</v>
      </c>
      <c r="D15" s="63" t="s">
        <v>171</v>
      </c>
      <c r="E15" s="53">
        <v>6.6870691853974026E-2</v>
      </c>
      <c r="F15" s="411" t="str">
        <f>IF(D15="","",VLOOKUP(D15,'G-6 Hedgerow Data'!$B$2:$AG$15,2,FALSE))</f>
        <v>Medium</v>
      </c>
      <c r="G15" s="363">
        <f>IF(D15="","",VLOOKUP(D15,'G-6 Hedgerow Data'!$B$2:$AG$15,3,FALSE))</f>
        <v>4</v>
      </c>
      <c r="H15" s="114" t="s">
        <v>68</v>
      </c>
      <c r="I15" s="363">
        <f>IFERROR(VLOOKUP(H15,'G-1 All Habitats'!$Z$2:$AA$9,2,FALSE),"")</f>
        <v>3</v>
      </c>
      <c r="J15" s="114" t="s">
        <v>1037</v>
      </c>
      <c r="K15" s="382" t="str">
        <f>IF(J15="","",IF(VLOOKUP(J15,'G-3 Multipliers'!$L$3:$N$6,2,FALSE)=0,"Spatial Data Missing ⚠",VLOOKUP(J15,'G-3 Multipliers'!$L$3:$N$6,2,FALSE)))</f>
        <v>Low Strategic Significance</v>
      </c>
      <c r="L15" s="368">
        <f>IF(J15="","",IF(VLOOKUP(J15,'G-3 Multipliers'!$L$3:$N$6,3,FALSE)=0,"Spatial Data Missing ⚠",VLOOKUP(J15,'G-3 Multipliers'!$L$3:$N$6,3,FALSE)))</f>
        <v>1</v>
      </c>
      <c r="M15" s="362">
        <f>IF(OR(D15="",H15=""),"",(INDEX('G-6 Hedgerow Data'!$E$3:$I$15,MATCH(D15,'G-6 Hedgerow Data'!$B$3:$B$15,0),MATCH(H15,'G-6 Hedgerow Data'!$E$2:$I$2,0))))</f>
        <v>12</v>
      </c>
      <c r="N15" s="159"/>
      <c r="O15" s="159"/>
      <c r="P15" s="370" t="str">
        <f t="shared" si="1"/>
        <v>Standard time to target condition applied</v>
      </c>
      <c r="Q15" s="383">
        <f t="shared" si="2"/>
        <v>12</v>
      </c>
      <c r="R15" s="384">
        <f t="shared" si="0"/>
        <v>0.65212036070000001</v>
      </c>
      <c r="S15" s="398" t="str">
        <f>IF(D15="","",VLOOKUP(D15,'G-6 Hedgerow Data'!$B$3:$AG$15,31,FALSE))</f>
        <v>Low</v>
      </c>
      <c r="T15" s="370" t="str">
        <f t="shared" si="3"/>
        <v>Standard difficulty applied</v>
      </c>
      <c r="U15" s="370" t="str">
        <f t="shared" si="4"/>
        <v>Low</v>
      </c>
      <c r="V15" s="386">
        <f>IF(D15="","",VLOOKUP(S15,'G-3 Multipliers'!$P$3:$Q$6,2,FALSE))</f>
        <v>1</v>
      </c>
      <c r="W15" s="390">
        <f t="shared" si="5"/>
        <v>0.5232928763048651</v>
      </c>
      <c r="X15" s="117"/>
      <c r="Y15" s="118"/>
      <c r="Z15" s="120"/>
      <c r="AG15" s="30" t="str">
        <f>IFERROR(INDEX('G-6 Hedgerow Data'!$BJ$3:$BJ$15,MATCH(D15,'G-6 Hedgerow Data'!$B$3:$B$15,0)),"")</f>
        <v>Hedgecond1</v>
      </c>
    </row>
    <row r="16" spans="2:33" ht="28.5" x14ac:dyDescent="0.2">
      <c r="B16" s="110">
        <v>5</v>
      </c>
      <c r="C16" s="167">
        <v>5</v>
      </c>
      <c r="D16" s="159" t="s">
        <v>171</v>
      </c>
      <c r="E16" s="139">
        <v>0.1925428535035324</v>
      </c>
      <c r="F16" s="411" t="str">
        <f>IF(D16="","",VLOOKUP(D16,'G-6 Hedgerow Data'!$B$2:$AG$15,2,FALSE))</f>
        <v>Medium</v>
      </c>
      <c r="G16" s="363">
        <f>IF(D16="","",VLOOKUP(D16,'G-6 Hedgerow Data'!$B$2:$AG$15,3,FALSE))</f>
        <v>4</v>
      </c>
      <c r="H16" s="122" t="s">
        <v>68</v>
      </c>
      <c r="I16" s="363">
        <f>IFERROR(VLOOKUP(H16,'G-1 All Habitats'!$Z$2:$AA$9,2,FALSE),"")</f>
        <v>3</v>
      </c>
      <c r="J16" s="114" t="s">
        <v>1037</v>
      </c>
      <c r="K16" s="382" t="str">
        <f>IF(J16="","",IF(VLOOKUP(J16,'G-3 Multipliers'!$L$3:$N$6,2,FALSE)=0,"Spatial Data Missing ⚠",VLOOKUP(J16,'G-3 Multipliers'!$L$3:$N$6,2,FALSE)))</f>
        <v>Low Strategic Significance</v>
      </c>
      <c r="L16" s="368">
        <f>IF(J16="","",IF(VLOOKUP(J16,'G-3 Multipliers'!$L$3:$N$6,3,FALSE)=0,"Spatial Data Missing ⚠",VLOOKUP(J16,'G-3 Multipliers'!$L$3:$N$6,3,FALSE)))</f>
        <v>1</v>
      </c>
      <c r="M16" s="362">
        <f>IF(OR(D16="",H16=""),"",(INDEX('G-6 Hedgerow Data'!$E$3:$I$15,MATCH(D16,'G-6 Hedgerow Data'!$B$3:$B$15,0),MATCH(H16,'G-6 Hedgerow Data'!$E$2:$I$2,0))))</f>
        <v>12</v>
      </c>
      <c r="N16" s="159"/>
      <c r="O16" s="159"/>
      <c r="P16" s="370" t="str">
        <f t="shared" si="1"/>
        <v>Standard time to target condition applied</v>
      </c>
      <c r="Q16" s="383">
        <f t="shared" si="2"/>
        <v>12</v>
      </c>
      <c r="R16" s="384">
        <f t="shared" si="0"/>
        <v>0.65212036070000001</v>
      </c>
      <c r="S16" s="398" t="str">
        <f>IF(D16="","",VLOOKUP(D16,'G-6 Hedgerow Data'!$B$3:$AG$15,31,FALSE))</f>
        <v>Low</v>
      </c>
      <c r="T16" s="370" t="str">
        <f t="shared" si="3"/>
        <v>Standard difficulty applied</v>
      </c>
      <c r="U16" s="370" t="str">
        <f t="shared" si="4"/>
        <v>Low</v>
      </c>
      <c r="V16" s="386">
        <f>IF(D16="","",VLOOKUP(S16,'G-3 Multipliers'!$P$3:$Q$6,2,FALSE))</f>
        <v>1</v>
      </c>
      <c r="W16" s="390">
        <f t="shared" si="5"/>
        <v>1.5067333809231698</v>
      </c>
      <c r="X16" s="117"/>
      <c r="Y16" s="118"/>
      <c r="Z16" s="120"/>
      <c r="AG16" s="30" t="str">
        <f>IFERROR(INDEX('G-6 Hedgerow Data'!$BJ$3:$BJ$15,MATCH(D16,'G-6 Hedgerow Data'!$B$3:$B$15,0)),"")</f>
        <v>Hedgecond1</v>
      </c>
    </row>
    <row r="17" spans="2:33" ht="28.5" x14ac:dyDescent="0.2">
      <c r="B17" s="110">
        <v>6</v>
      </c>
      <c r="C17" s="167">
        <v>6</v>
      </c>
      <c r="D17" s="159" t="s">
        <v>171</v>
      </c>
      <c r="E17" s="139">
        <v>0.19581610120617521</v>
      </c>
      <c r="F17" s="398" t="str">
        <f>IF(D17="","",VLOOKUP(D17,'G-6 Hedgerow Data'!$B$2:$AG$15,2,FALSE))</f>
        <v>Medium</v>
      </c>
      <c r="G17" s="368">
        <f>IF(D17="","",VLOOKUP(D17,'G-6 Hedgerow Data'!$B$2:$AG$15,3,FALSE))</f>
        <v>4</v>
      </c>
      <c r="H17" s="54" t="s">
        <v>68</v>
      </c>
      <c r="I17" s="363">
        <f>IFERROR(VLOOKUP(H17,'G-1 All Habitats'!$Z$2:$AA$9,2,FALSE),"")</f>
        <v>3</v>
      </c>
      <c r="J17" s="114" t="s">
        <v>1037</v>
      </c>
      <c r="K17" s="382" t="str">
        <f>IF(J17="","",IF(VLOOKUP(J17,'G-3 Multipliers'!$L$3:$N$6,2,FALSE)=0,"Spatial Data Missing ⚠",VLOOKUP(J17,'G-3 Multipliers'!$L$3:$N$6,2,FALSE)))</f>
        <v>Low Strategic Significance</v>
      </c>
      <c r="L17" s="368">
        <f>IF(J17="","",IF(VLOOKUP(J17,'G-3 Multipliers'!$L$3:$N$6,3,FALSE)=0,"Spatial Data Missing ⚠",VLOOKUP(J17,'G-3 Multipliers'!$L$3:$N$6,3,FALSE)))</f>
        <v>1</v>
      </c>
      <c r="M17" s="362">
        <f>IF(OR(D17="",H17=""),"",(INDEX('G-6 Hedgerow Data'!$E$3:$I$15,MATCH(D17,'G-6 Hedgerow Data'!$B$3:$B$15,0),MATCH(H17,'G-6 Hedgerow Data'!$E$2:$I$2,0))))</f>
        <v>12</v>
      </c>
      <c r="N17" s="159"/>
      <c r="O17" s="159"/>
      <c r="P17" s="370" t="str">
        <f t="shared" si="1"/>
        <v>Standard time to target condition applied</v>
      </c>
      <c r="Q17" s="383">
        <f t="shared" si="2"/>
        <v>12</v>
      </c>
      <c r="R17" s="384">
        <f t="shared" si="0"/>
        <v>0.65212036070000001</v>
      </c>
      <c r="S17" s="398" t="str">
        <f>IF(D17="","",VLOOKUP(D17,'G-6 Hedgerow Data'!$B$3:$AG$15,31,FALSE))</f>
        <v>Low</v>
      </c>
      <c r="T17" s="370" t="str">
        <f t="shared" si="3"/>
        <v>Standard difficulty applied</v>
      </c>
      <c r="U17" s="370" t="str">
        <f t="shared" si="4"/>
        <v>Low</v>
      </c>
      <c r="V17" s="386">
        <f>IF(D17="","",VLOOKUP(S17,'G-3 Multipliers'!$P$3:$Q$6,2,FALSE))</f>
        <v>1</v>
      </c>
      <c r="W17" s="390">
        <f t="shared" si="5"/>
        <v>1.5323479985932642</v>
      </c>
      <c r="X17" s="117"/>
      <c r="Y17" s="118"/>
      <c r="Z17" s="120"/>
      <c r="AG17" s="30" t="str">
        <f>IFERROR(INDEX('G-6 Hedgerow Data'!$BJ$3:$BJ$15,MATCH(D17,'G-6 Hedgerow Data'!$B$3:$B$15,0)),"")</f>
        <v>Hedgecond1</v>
      </c>
    </row>
    <row r="18" spans="2:33" ht="28.5" x14ac:dyDescent="0.2">
      <c r="B18" s="110">
        <v>7</v>
      </c>
      <c r="C18" s="167">
        <v>7</v>
      </c>
      <c r="D18" s="159" t="s">
        <v>171</v>
      </c>
      <c r="E18" s="139">
        <v>0.1065873445431581</v>
      </c>
      <c r="F18" s="362" t="str">
        <f>IF(D18="","",VLOOKUP(D18,'G-6 Hedgerow Data'!$B$2:$AG$15,2,FALSE))</f>
        <v>Medium</v>
      </c>
      <c r="G18" s="368">
        <f>IF(D18="","",VLOOKUP(D18,'G-6 Hedgerow Data'!$B$2:$AG$15,3,FALSE))</f>
        <v>4</v>
      </c>
      <c r="H18" s="54" t="s">
        <v>68</v>
      </c>
      <c r="I18" s="363">
        <f>IFERROR(VLOOKUP(H18,'G-1 All Habitats'!$Z$2:$AA$9,2,FALSE),"")</f>
        <v>3</v>
      </c>
      <c r="J18" s="114" t="s">
        <v>1037</v>
      </c>
      <c r="K18" s="382" t="str">
        <f>IF(J18="","",IF(VLOOKUP(J18,'G-3 Multipliers'!$L$3:$N$6,2,FALSE)=0,"Spatial Data Missing ⚠",VLOOKUP(J18,'G-3 Multipliers'!$L$3:$N$6,2,FALSE)))</f>
        <v>Low Strategic Significance</v>
      </c>
      <c r="L18" s="368">
        <f>IF(J18="","",IF(VLOOKUP(J18,'G-3 Multipliers'!$L$3:$N$6,3,FALSE)=0,"Spatial Data Missing ⚠",VLOOKUP(J18,'G-3 Multipliers'!$L$3:$N$6,3,FALSE)))</f>
        <v>1</v>
      </c>
      <c r="M18" s="362">
        <f>IF(OR(D18="",H18=""),"",(INDEX('G-6 Hedgerow Data'!$E$3:$I$15,MATCH(D18,'G-6 Hedgerow Data'!$B$3:$B$15,0),MATCH(H18,'G-6 Hedgerow Data'!$E$2:$I$2,0))))</f>
        <v>12</v>
      </c>
      <c r="N18" s="159"/>
      <c r="O18" s="159"/>
      <c r="P18" s="370" t="str">
        <f t="shared" si="1"/>
        <v>Standard time to target condition applied</v>
      </c>
      <c r="Q18" s="383">
        <f t="shared" si="2"/>
        <v>12</v>
      </c>
      <c r="R18" s="384">
        <f t="shared" si="0"/>
        <v>0.65212036070000001</v>
      </c>
      <c r="S18" s="398" t="str">
        <f>IF(D18="","",VLOOKUP(D18,'G-6 Hedgerow Data'!$B$3:$AG$15,31,FALSE))</f>
        <v>Low</v>
      </c>
      <c r="T18" s="370" t="str">
        <f t="shared" si="3"/>
        <v>Standard difficulty applied</v>
      </c>
      <c r="U18" s="370" t="str">
        <f t="shared" si="4"/>
        <v>Low</v>
      </c>
      <c r="V18" s="386">
        <f>IF(D18="","",VLOOKUP(S18,'G-3 Multipliers'!$P$3:$Q$6,2,FALSE))</f>
        <v>1</v>
      </c>
      <c r="W18" s="390">
        <f t="shared" si="5"/>
        <v>0.83409333083447323</v>
      </c>
      <c r="X18" s="117"/>
      <c r="Y18" s="118"/>
      <c r="Z18" s="120"/>
      <c r="AG18" s="30" t="str">
        <f>IFERROR(INDEX('G-6 Hedgerow Data'!$BJ$3:$BJ$15,MATCH(D18,'G-6 Hedgerow Data'!$B$3:$B$15,0)),"")</f>
        <v>Hedgecond1</v>
      </c>
    </row>
    <row r="19" spans="2:33" ht="28.5" x14ac:dyDescent="0.2">
      <c r="B19" s="110">
        <v>8</v>
      </c>
      <c r="C19" s="167">
        <v>8</v>
      </c>
      <c r="D19" s="159" t="s">
        <v>171</v>
      </c>
      <c r="E19" s="139">
        <v>0.1170344632637383</v>
      </c>
      <c r="F19" s="362" t="str">
        <f>IF(D19="","",VLOOKUP(D19,'G-6 Hedgerow Data'!$B$2:$AG$15,2,FALSE))</f>
        <v>Medium</v>
      </c>
      <c r="G19" s="368">
        <f>IF(D19="","",VLOOKUP(D19,'G-6 Hedgerow Data'!$B$2:$AG$15,3,FALSE))</f>
        <v>4</v>
      </c>
      <c r="H19" s="54" t="s">
        <v>68</v>
      </c>
      <c r="I19" s="363">
        <f>IFERROR(VLOOKUP(H19,'G-1 All Habitats'!$Z$2:$AA$9,2,FALSE),"")</f>
        <v>3</v>
      </c>
      <c r="J19" s="114" t="s">
        <v>1037</v>
      </c>
      <c r="K19" s="382" t="str">
        <f>IF(J19="","",IF(VLOOKUP(J19,'G-3 Multipliers'!$L$3:$N$6,2,FALSE)=0,"Spatial Data Missing ⚠",VLOOKUP(J19,'G-3 Multipliers'!$L$3:$N$6,2,FALSE)))</f>
        <v>Low Strategic Significance</v>
      </c>
      <c r="L19" s="368">
        <f>IF(J19="","",IF(VLOOKUP(J19,'G-3 Multipliers'!$L$3:$N$6,3,FALSE)=0,"Spatial Data Missing ⚠",VLOOKUP(J19,'G-3 Multipliers'!$L$3:$N$6,3,FALSE)))</f>
        <v>1</v>
      </c>
      <c r="M19" s="362">
        <f>IF(OR(D19="",H19=""),"",(INDEX('G-6 Hedgerow Data'!$E$3:$I$15,MATCH(D19,'G-6 Hedgerow Data'!$B$3:$B$15,0),MATCH(H19,'G-6 Hedgerow Data'!$E$2:$I$2,0))))</f>
        <v>12</v>
      </c>
      <c r="N19" s="159"/>
      <c r="O19" s="159"/>
      <c r="P19" s="370" t="str">
        <f t="shared" si="1"/>
        <v>Standard time to target condition applied</v>
      </c>
      <c r="Q19" s="383">
        <f t="shared" si="2"/>
        <v>12</v>
      </c>
      <c r="R19" s="384">
        <f t="shared" si="0"/>
        <v>0.65212036070000001</v>
      </c>
      <c r="S19" s="398" t="str">
        <f>IF(D19="","",VLOOKUP(D19,'G-6 Hedgerow Data'!$B$3:$AG$15,31,FALSE))</f>
        <v>Low</v>
      </c>
      <c r="T19" s="370" t="str">
        <f t="shared" si="3"/>
        <v>Standard difficulty applied</v>
      </c>
      <c r="U19" s="370" t="str">
        <f t="shared" si="4"/>
        <v>Low</v>
      </c>
      <c r="V19" s="386">
        <f>IF(D19="","",VLOOKUP(S19,'G-3 Multipliers'!$P$3:$Q$6,2,FALSE))</f>
        <v>1</v>
      </c>
      <c r="W19" s="390">
        <f t="shared" si="5"/>
        <v>0.91584667677455911</v>
      </c>
      <c r="X19" s="117"/>
      <c r="Y19" s="118"/>
      <c r="Z19" s="120"/>
      <c r="AG19" s="30" t="str">
        <f>IFERROR(INDEX('G-6 Hedgerow Data'!$BJ$3:$BJ$15,MATCH(D19,'G-6 Hedgerow Data'!$B$3:$B$15,0)),"")</f>
        <v>Hedgecond1</v>
      </c>
    </row>
    <row r="20" spans="2:33" ht="28.5" x14ac:dyDescent="0.2">
      <c r="B20" s="110">
        <v>9</v>
      </c>
      <c r="C20" s="167">
        <v>9</v>
      </c>
      <c r="D20" s="159" t="s">
        <v>171</v>
      </c>
      <c r="E20" s="139">
        <v>0.2475485737152944</v>
      </c>
      <c r="F20" s="362" t="str">
        <f>IF(D20="","",VLOOKUP(D20,'G-6 Hedgerow Data'!$B$2:$AG$15,2,FALSE))</f>
        <v>Medium</v>
      </c>
      <c r="G20" s="368">
        <f>IF(D20="","",VLOOKUP(D20,'G-6 Hedgerow Data'!$B$2:$AG$15,3,FALSE))</f>
        <v>4</v>
      </c>
      <c r="H20" s="54" t="s">
        <v>68</v>
      </c>
      <c r="I20" s="363">
        <f>IFERROR(VLOOKUP(H20,'G-1 All Habitats'!$Z$2:$AA$9,2,FALSE),"")</f>
        <v>3</v>
      </c>
      <c r="J20" s="114" t="s">
        <v>1037</v>
      </c>
      <c r="K20" s="382" t="str">
        <f>IF(J20="","",IF(VLOOKUP(J20,'G-3 Multipliers'!$L$3:$N$6,2,FALSE)=0,"Spatial Data Missing ⚠",VLOOKUP(J20,'G-3 Multipliers'!$L$3:$N$6,2,FALSE)))</f>
        <v>Low Strategic Significance</v>
      </c>
      <c r="L20" s="368">
        <f>IF(J20="","",IF(VLOOKUP(J20,'G-3 Multipliers'!$L$3:$N$6,3,FALSE)=0,"Spatial Data Missing ⚠",VLOOKUP(J20,'G-3 Multipliers'!$L$3:$N$6,3,FALSE)))</f>
        <v>1</v>
      </c>
      <c r="M20" s="362">
        <f>IF(OR(D20="",H20=""),"",(INDEX('G-6 Hedgerow Data'!$E$3:$I$15,MATCH(D20,'G-6 Hedgerow Data'!$B$3:$B$15,0),MATCH(H20,'G-6 Hedgerow Data'!$E$2:$I$2,0))))</f>
        <v>12</v>
      </c>
      <c r="N20" s="159"/>
      <c r="O20" s="159"/>
      <c r="P20" s="370" t="str">
        <f t="shared" si="1"/>
        <v>Standard time to target condition applied</v>
      </c>
      <c r="Q20" s="383">
        <f t="shared" si="2"/>
        <v>12</v>
      </c>
      <c r="R20" s="384">
        <f t="shared" si="0"/>
        <v>0.65212036070000001</v>
      </c>
      <c r="S20" s="398" t="str">
        <f>IF(D20="","",VLOOKUP(D20,'G-6 Hedgerow Data'!$B$3:$AG$15,31,FALSE))</f>
        <v>Low</v>
      </c>
      <c r="T20" s="370" t="str">
        <f t="shared" si="3"/>
        <v>Standard difficulty applied</v>
      </c>
      <c r="U20" s="370" t="str">
        <f t="shared" si="4"/>
        <v>Low</v>
      </c>
      <c r="V20" s="386">
        <f>IF(D20="","",VLOOKUP(S20,'G-3 Multipliers'!$P$3:$Q$6,2,FALSE))</f>
        <v>1</v>
      </c>
      <c r="W20" s="390">
        <f t="shared" si="5"/>
        <v>1.9371775821838599</v>
      </c>
      <c r="X20" s="117"/>
      <c r="Y20" s="118"/>
      <c r="Z20" s="120"/>
      <c r="AG20" s="30" t="str">
        <f>IFERROR(INDEX('G-6 Hedgerow Data'!$BJ$3:$BJ$15,MATCH(D20,'G-6 Hedgerow Data'!$B$3:$B$15,0)),"")</f>
        <v>Hedgecond1</v>
      </c>
    </row>
    <row r="21" spans="2:33" ht="28.5" x14ac:dyDescent="0.2">
      <c r="B21" s="110">
        <v>10</v>
      </c>
      <c r="C21" s="167">
        <v>10</v>
      </c>
      <c r="D21" s="159" t="s">
        <v>171</v>
      </c>
      <c r="E21" s="139">
        <v>0.1816797048898493</v>
      </c>
      <c r="F21" s="362" t="str">
        <f>IF(D21="","",VLOOKUP(D21,'G-6 Hedgerow Data'!$B$2:$AG$15,2,FALSE))</f>
        <v>Medium</v>
      </c>
      <c r="G21" s="368">
        <f>IF(D21="","",VLOOKUP(D21,'G-6 Hedgerow Data'!$B$2:$AG$15,3,FALSE))</f>
        <v>4</v>
      </c>
      <c r="H21" s="54" t="s">
        <v>68</v>
      </c>
      <c r="I21" s="363">
        <f>IFERROR(VLOOKUP(H21,'G-1 All Habitats'!$Z$2:$AA$9,2,FALSE),"")</f>
        <v>3</v>
      </c>
      <c r="J21" s="114" t="s">
        <v>1037</v>
      </c>
      <c r="K21" s="382" t="str">
        <f>IF(J21="","",IF(VLOOKUP(J21,'G-3 Multipliers'!$L$3:$N$6,2,FALSE)=0,"Spatial Data Missing ⚠",VLOOKUP(J21,'G-3 Multipliers'!$L$3:$N$6,2,FALSE)))</f>
        <v>Low Strategic Significance</v>
      </c>
      <c r="L21" s="368">
        <f>IF(J21="","",IF(VLOOKUP(J21,'G-3 Multipliers'!$L$3:$N$6,3,FALSE)=0,"Spatial Data Missing ⚠",VLOOKUP(J21,'G-3 Multipliers'!$L$3:$N$6,3,FALSE)))</f>
        <v>1</v>
      </c>
      <c r="M21" s="362">
        <f>IF(OR(D21="",H21=""),"",(INDEX('G-6 Hedgerow Data'!$E$3:$I$15,MATCH(D21,'G-6 Hedgerow Data'!$B$3:$B$15,0),MATCH(H21,'G-6 Hedgerow Data'!$E$2:$I$2,0))))</f>
        <v>12</v>
      </c>
      <c r="N21" s="159"/>
      <c r="O21" s="159"/>
      <c r="P21" s="370" t="str">
        <f t="shared" si="1"/>
        <v>Standard time to target condition applied</v>
      </c>
      <c r="Q21" s="383">
        <f t="shared" si="2"/>
        <v>12</v>
      </c>
      <c r="R21" s="384">
        <f t="shared" si="0"/>
        <v>0.65212036070000001</v>
      </c>
      <c r="S21" s="398" t="str">
        <f>IF(D21="","",VLOOKUP(D21,'G-6 Hedgerow Data'!$B$3:$AG$15,31,FALSE))</f>
        <v>Low</v>
      </c>
      <c r="T21" s="370" t="str">
        <f t="shared" si="3"/>
        <v>Standard difficulty applied</v>
      </c>
      <c r="U21" s="370" t="str">
        <f t="shared" si="4"/>
        <v>Low</v>
      </c>
      <c r="V21" s="386">
        <f>IF(D21="","",VLOOKUP(S21,'G-3 Multipliers'!$P$3:$Q$6,2,FALSE))</f>
        <v>1</v>
      </c>
      <c r="W21" s="390">
        <f t="shared" si="5"/>
        <v>1.421724416215657</v>
      </c>
      <c r="X21" s="117"/>
      <c r="Y21" s="118"/>
      <c r="Z21" s="120"/>
      <c r="AG21" s="30" t="str">
        <f>IFERROR(INDEX('G-6 Hedgerow Data'!$BJ$3:$BJ$15,MATCH(D21,'G-6 Hedgerow Data'!$B$3:$B$15,0)),"")</f>
        <v>Hedgecond1</v>
      </c>
    </row>
    <row r="22" spans="2:33" ht="28.5" x14ac:dyDescent="0.2">
      <c r="B22" s="110">
        <v>11</v>
      </c>
      <c r="C22" s="167">
        <v>11</v>
      </c>
      <c r="D22" s="159" t="s">
        <v>171</v>
      </c>
      <c r="E22" s="139">
        <v>0.1310105640141562</v>
      </c>
      <c r="F22" s="362" t="str">
        <f>IF(D22="","",VLOOKUP(D22,'G-6 Hedgerow Data'!$B$2:$AG$15,2,FALSE))</f>
        <v>Medium</v>
      </c>
      <c r="G22" s="368">
        <f>IF(D22="","",VLOOKUP(D22,'G-6 Hedgerow Data'!$B$2:$AG$15,3,FALSE))</f>
        <v>4</v>
      </c>
      <c r="H22" s="54" t="s">
        <v>68</v>
      </c>
      <c r="I22" s="363">
        <f>IFERROR(VLOOKUP(H22,'G-1 All Habitats'!$Z$2:$AA$9,2,FALSE),"")</f>
        <v>3</v>
      </c>
      <c r="J22" s="114" t="s">
        <v>1037</v>
      </c>
      <c r="K22" s="382" t="str">
        <f>IF(J22="","",IF(VLOOKUP(J22,'G-3 Multipliers'!$L$3:$N$6,2,FALSE)=0,"Spatial Data Missing ⚠",VLOOKUP(J22,'G-3 Multipliers'!$L$3:$N$6,2,FALSE)))</f>
        <v>Low Strategic Significance</v>
      </c>
      <c r="L22" s="368">
        <f>IF(J22="","",IF(VLOOKUP(J22,'G-3 Multipliers'!$L$3:$N$6,3,FALSE)=0,"Spatial Data Missing ⚠",VLOOKUP(J22,'G-3 Multipliers'!$L$3:$N$6,3,FALSE)))</f>
        <v>1</v>
      </c>
      <c r="M22" s="362">
        <f>IF(OR(D22="",H22=""),"",(INDEX('G-6 Hedgerow Data'!$E$3:$I$15,MATCH(D22,'G-6 Hedgerow Data'!$B$3:$B$15,0),MATCH(H22,'G-6 Hedgerow Data'!$E$2:$I$2,0))))</f>
        <v>12</v>
      </c>
      <c r="N22" s="159"/>
      <c r="O22" s="159"/>
      <c r="P22" s="370" t="str">
        <f t="shared" si="1"/>
        <v>Standard time to target condition applied</v>
      </c>
      <c r="Q22" s="383">
        <f t="shared" si="2"/>
        <v>12</v>
      </c>
      <c r="R22" s="384">
        <f t="shared" si="0"/>
        <v>0.65212036070000001</v>
      </c>
      <c r="S22" s="398" t="str">
        <f>IF(D22="","",VLOOKUP(D22,'G-6 Hedgerow Data'!$B$3:$AG$15,31,FALSE))</f>
        <v>Low</v>
      </c>
      <c r="T22" s="370" t="str">
        <f t="shared" si="3"/>
        <v>Standard difficulty applied</v>
      </c>
      <c r="U22" s="370" t="str">
        <f t="shared" si="4"/>
        <v>Low</v>
      </c>
      <c r="V22" s="386">
        <f>IF(D22="","",VLOOKUP(S22,'G-3 Multipliers'!$P$3:$Q$6,2,FALSE))</f>
        <v>1</v>
      </c>
      <c r="W22" s="390">
        <f t="shared" si="5"/>
        <v>1.0252158751250637</v>
      </c>
      <c r="X22" s="117"/>
      <c r="Y22" s="118"/>
      <c r="Z22" s="120"/>
      <c r="AG22" s="30" t="str">
        <f>IFERROR(INDEX('G-6 Hedgerow Data'!$BJ$3:$BJ$15,MATCH(D22,'G-6 Hedgerow Data'!$B$3:$B$15,0)),"")</f>
        <v>Hedgecond1</v>
      </c>
    </row>
    <row r="23" spans="2:33" ht="28.5" x14ac:dyDescent="0.2">
      <c r="B23" s="110">
        <v>12</v>
      </c>
      <c r="C23" s="167">
        <v>12</v>
      </c>
      <c r="D23" s="159" t="s">
        <v>171</v>
      </c>
      <c r="E23" s="139">
        <v>7.9581518591333236E-2</v>
      </c>
      <c r="F23" s="362" t="str">
        <f>IF(D23="","",VLOOKUP(D23,'G-6 Hedgerow Data'!$B$2:$AG$15,2,FALSE))</f>
        <v>Medium</v>
      </c>
      <c r="G23" s="368">
        <f>IF(D23="","",VLOOKUP(D23,'G-6 Hedgerow Data'!$B$2:$AG$15,3,FALSE))</f>
        <v>4</v>
      </c>
      <c r="H23" s="54" t="s">
        <v>68</v>
      </c>
      <c r="I23" s="363">
        <f>IFERROR(VLOOKUP(H23,'G-1 All Habitats'!$Z$2:$AA$9,2,FALSE),"")</f>
        <v>3</v>
      </c>
      <c r="J23" s="114" t="s">
        <v>1037</v>
      </c>
      <c r="K23" s="382" t="str">
        <f>IF(J23="","",IF(VLOOKUP(J23,'G-3 Multipliers'!$L$3:$N$6,2,FALSE)=0,"Spatial Data Missing ⚠",VLOOKUP(J23,'G-3 Multipliers'!$L$3:$N$6,2,FALSE)))</f>
        <v>Low Strategic Significance</v>
      </c>
      <c r="L23" s="368">
        <f>IF(J23="","",IF(VLOOKUP(J23,'G-3 Multipliers'!$L$3:$N$6,3,FALSE)=0,"Spatial Data Missing ⚠",VLOOKUP(J23,'G-3 Multipliers'!$L$3:$N$6,3,FALSE)))</f>
        <v>1</v>
      </c>
      <c r="M23" s="362">
        <f>IF(OR(D23="",H23=""),"",(INDEX('G-6 Hedgerow Data'!$E$3:$I$15,MATCH(D23,'G-6 Hedgerow Data'!$B$3:$B$15,0),MATCH(H23,'G-6 Hedgerow Data'!$E$2:$I$2,0))))</f>
        <v>12</v>
      </c>
      <c r="N23" s="159"/>
      <c r="O23" s="159"/>
      <c r="P23" s="370" t="str">
        <f t="shared" si="1"/>
        <v>Standard time to target condition applied</v>
      </c>
      <c r="Q23" s="383">
        <f t="shared" si="2"/>
        <v>12</v>
      </c>
      <c r="R23" s="384">
        <f t="shared" si="0"/>
        <v>0.65212036070000001</v>
      </c>
      <c r="S23" s="398" t="str">
        <f>IF(D23="","",VLOOKUP(D23,'G-6 Hedgerow Data'!$B$3:$AG$15,31,FALSE))</f>
        <v>Low</v>
      </c>
      <c r="T23" s="370" t="str">
        <f t="shared" si="3"/>
        <v>Standard difficulty applied</v>
      </c>
      <c r="U23" s="370" t="str">
        <f t="shared" si="4"/>
        <v>Low</v>
      </c>
      <c r="V23" s="386">
        <f>IF(D23="","",VLOOKUP(S23,'G-3 Multipliers'!$P$3:$Q$6,2,FALSE))</f>
        <v>1</v>
      </c>
      <c r="W23" s="390">
        <f t="shared" si="5"/>
        <v>0.62276074330600784</v>
      </c>
      <c r="X23" s="117"/>
      <c r="Y23" s="118"/>
      <c r="Z23" s="120"/>
      <c r="AG23" s="30" t="str">
        <f>IFERROR(INDEX('G-6 Hedgerow Data'!$BJ$3:$BJ$15,MATCH(D23,'G-6 Hedgerow Data'!$B$3:$B$15,0)),"")</f>
        <v>Hedgecond1</v>
      </c>
    </row>
    <row r="24" spans="2:33" ht="28.5" x14ac:dyDescent="0.2">
      <c r="B24" s="110">
        <v>13</v>
      </c>
      <c r="C24" s="167">
        <v>13</v>
      </c>
      <c r="D24" s="159" t="s">
        <v>171</v>
      </c>
      <c r="E24" s="139">
        <v>0.1973309728716553</v>
      </c>
      <c r="F24" s="362" t="str">
        <f>IF(D24="","",VLOOKUP(D24,'G-6 Hedgerow Data'!$B$2:$AG$15,2,FALSE))</f>
        <v>Medium</v>
      </c>
      <c r="G24" s="368">
        <f>IF(D24="","",VLOOKUP(D24,'G-6 Hedgerow Data'!$B$2:$AG$15,3,FALSE))</f>
        <v>4</v>
      </c>
      <c r="H24" s="114" t="s">
        <v>68</v>
      </c>
      <c r="I24" s="363">
        <f>IFERROR(VLOOKUP(H24,'G-1 All Habitats'!$Z$2:$AA$9,2,FALSE),"")</f>
        <v>3</v>
      </c>
      <c r="J24" s="114" t="s">
        <v>1037</v>
      </c>
      <c r="K24" s="382" t="str">
        <f>IF(J24="","",IF(VLOOKUP(J24,'G-3 Multipliers'!$L$3:$N$6,2,FALSE)=0,"Spatial Data Missing ⚠",VLOOKUP(J24,'G-3 Multipliers'!$L$3:$N$6,2,FALSE)))</f>
        <v>Low Strategic Significance</v>
      </c>
      <c r="L24" s="368">
        <f>IF(J24="","",IF(VLOOKUP(J24,'G-3 Multipliers'!$L$3:$N$6,3,FALSE)=0,"Spatial Data Missing ⚠",VLOOKUP(J24,'G-3 Multipliers'!$L$3:$N$6,3,FALSE)))</f>
        <v>1</v>
      </c>
      <c r="M24" s="362">
        <f>IF(OR(D24="",H24=""),"",(INDEX('G-6 Hedgerow Data'!$E$3:$I$15,MATCH(D24,'G-6 Hedgerow Data'!$B$3:$B$15,0),MATCH(H24,'G-6 Hedgerow Data'!$E$2:$I$2,0))))</f>
        <v>12</v>
      </c>
      <c r="N24" s="159"/>
      <c r="O24" s="159"/>
      <c r="P24" s="370" t="str">
        <f t="shared" si="1"/>
        <v>Standard time to target condition applied</v>
      </c>
      <c r="Q24" s="383">
        <f t="shared" si="2"/>
        <v>12</v>
      </c>
      <c r="R24" s="384">
        <f t="shared" si="0"/>
        <v>0.65212036070000001</v>
      </c>
      <c r="S24" s="398" t="str">
        <f>IF(D24="","",VLOOKUP(D24,'G-6 Hedgerow Data'!$B$3:$AG$15,31,FALSE))</f>
        <v>Low</v>
      </c>
      <c r="T24" s="370" t="str">
        <f t="shared" si="3"/>
        <v>Standard difficulty applied</v>
      </c>
      <c r="U24" s="370" t="str">
        <f t="shared" si="4"/>
        <v>Low</v>
      </c>
      <c r="V24" s="386">
        <f>IF(D24="","",VLOOKUP(S24,'G-3 Multipliers'!$P$3:$Q$6,2,FALSE))</f>
        <v>1</v>
      </c>
      <c r="W24" s="390">
        <f t="shared" si="5"/>
        <v>1.5442025424761494</v>
      </c>
      <c r="X24" s="117"/>
      <c r="Y24" s="118"/>
      <c r="Z24" s="120"/>
      <c r="AG24" s="30" t="str">
        <f>IFERROR(INDEX('G-6 Hedgerow Data'!$BJ$3:$BJ$15,MATCH(D24,'G-6 Hedgerow Data'!$B$3:$B$15,0)),"")</f>
        <v>Hedgecond1</v>
      </c>
    </row>
    <row r="25" spans="2:33" ht="28.5" x14ac:dyDescent="0.2">
      <c r="B25" s="110">
        <v>14</v>
      </c>
      <c r="C25" s="167">
        <v>14</v>
      </c>
      <c r="D25" s="63" t="s">
        <v>171</v>
      </c>
      <c r="E25" s="53">
        <v>0.50109611308127999</v>
      </c>
      <c r="F25" s="411" t="str">
        <f>IF(D25="","",VLOOKUP(D25,'G-6 Hedgerow Data'!$B$2:$AG$15,2,FALSE))</f>
        <v>Medium</v>
      </c>
      <c r="G25" s="363">
        <f>IF(D25="","",VLOOKUP(D25,'G-6 Hedgerow Data'!$B$2:$AG$15,3,FALSE))</f>
        <v>4</v>
      </c>
      <c r="H25" s="114" t="s">
        <v>68</v>
      </c>
      <c r="I25" s="363">
        <f>IFERROR(VLOOKUP(H25,'G-1 All Habitats'!$Z$2:$AA$9,2,FALSE),"")</f>
        <v>3</v>
      </c>
      <c r="J25" s="114" t="s">
        <v>1037</v>
      </c>
      <c r="K25" s="382" t="str">
        <f>IF(J25="","",IF(VLOOKUP(J25,'G-3 Multipliers'!$L$3:$N$6,2,FALSE)=0,"Spatial Data Missing ⚠",VLOOKUP(J25,'G-3 Multipliers'!$L$3:$N$6,2,FALSE)))</f>
        <v>Low Strategic Significance</v>
      </c>
      <c r="L25" s="368">
        <f>IF(J25="","",IF(VLOOKUP(J25,'G-3 Multipliers'!$L$3:$N$6,3,FALSE)=0,"Spatial Data Missing ⚠",VLOOKUP(J25,'G-3 Multipliers'!$L$3:$N$6,3,FALSE)))</f>
        <v>1</v>
      </c>
      <c r="M25" s="362">
        <f>IF(OR(D25="",H25=""),"",(INDEX('G-6 Hedgerow Data'!$E$3:$I$15,MATCH(D25,'G-6 Hedgerow Data'!$B$3:$B$15,0),MATCH(H25,'G-6 Hedgerow Data'!$E$2:$I$2,0))))</f>
        <v>12</v>
      </c>
      <c r="N25" s="159"/>
      <c r="O25" s="159"/>
      <c r="P25" s="370" t="str">
        <f t="shared" si="1"/>
        <v>Standard time to target condition applied</v>
      </c>
      <c r="Q25" s="383">
        <f t="shared" si="2"/>
        <v>12</v>
      </c>
      <c r="R25" s="384">
        <f t="shared" si="0"/>
        <v>0.65212036070000001</v>
      </c>
      <c r="S25" s="398" t="str">
        <f>IF(D25="","",VLOOKUP(D25,'G-6 Hedgerow Data'!$B$3:$AG$15,31,FALSE))</f>
        <v>Low</v>
      </c>
      <c r="T25" s="370" t="str">
        <f t="shared" si="3"/>
        <v>Standard difficulty applied</v>
      </c>
      <c r="U25" s="370" t="str">
        <f t="shared" si="4"/>
        <v>Low</v>
      </c>
      <c r="V25" s="386">
        <f>IF(D25="","",VLOOKUP(S25,'G-3 Multipliers'!$P$3:$Q$6,2,FALSE))</f>
        <v>1</v>
      </c>
      <c r="W25" s="390">
        <f t="shared" si="5"/>
        <v>3.9212997360951878</v>
      </c>
      <c r="X25" s="117"/>
      <c r="Y25" s="118"/>
      <c r="Z25" s="120"/>
      <c r="AG25" s="30" t="str">
        <f>IFERROR(INDEX('G-6 Hedgerow Data'!$BJ$3:$BJ$15,MATCH(D25,'G-6 Hedgerow Data'!$B$3:$B$15,0)),"")</f>
        <v>Hedgecond1</v>
      </c>
    </row>
    <row r="26" spans="2:33" ht="28.5" x14ac:dyDescent="0.2">
      <c r="B26" s="110">
        <v>15</v>
      </c>
      <c r="C26" s="167">
        <v>15</v>
      </c>
      <c r="D26" s="63" t="s">
        <v>171</v>
      </c>
      <c r="E26" s="53">
        <v>0.35190028489094932</v>
      </c>
      <c r="F26" s="411" t="str">
        <f>IF(D26="","",VLOOKUP(D26,'G-6 Hedgerow Data'!$B$2:$AG$15,2,FALSE))</f>
        <v>Medium</v>
      </c>
      <c r="G26" s="363">
        <f>IF(D26="","",VLOOKUP(D26,'G-6 Hedgerow Data'!$B$2:$AG$15,3,FALSE))</f>
        <v>4</v>
      </c>
      <c r="H26" s="114" t="s">
        <v>68</v>
      </c>
      <c r="I26" s="363">
        <f>IFERROR(VLOOKUP(H26,'G-1 All Habitats'!$Z$2:$AA$9,2,FALSE),"")</f>
        <v>3</v>
      </c>
      <c r="J26" s="114" t="s">
        <v>1037</v>
      </c>
      <c r="K26" s="382" t="str">
        <f>IF(J26="","",IF(VLOOKUP(J26,'G-3 Multipliers'!$L$3:$N$6,2,FALSE)=0,"Spatial Data Missing ⚠",VLOOKUP(J26,'G-3 Multipliers'!$L$3:$N$6,2,FALSE)))</f>
        <v>Low Strategic Significance</v>
      </c>
      <c r="L26" s="368">
        <f>IF(J26="","",IF(VLOOKUP(J26,'G-3 Multipliers'!$L$3:$N$6,3,FALSE)=0,"Spatial Data Missing ⚠",VLOOKUP(J26,'G-3 Multipliers'!$L$3:$N$6,3,FALSE)))</f>
        <v>1</v>
      </c>
      <c r="M26" s="362">
        <f>IF(OR(D26="",H26=""),"",(INDEX('G-6 Hedgerow Data'!$E$3:$I$15,MATCH(D26,'G-6 Hedgerow Data'!$B$3:$B$15,0),MATCH(H26,'G-6 Hedgerow Data'!$E$2:$I$2,0))))</f>
        <v>12</v>
      </c>
      <c r="N26" s="159"/>
      <c r="O26" s="159"/>
      <c r="P26" s="370" t="str">
        <f t="shared" si="1"/>
        <v>Standard time to target condition applied</v>
      </c>
      <c r="Q26" s="383">
        <f t="shared" si="2"/>
        <v>12</v>
      </c>
      <c r="R26" s="384">
        <f t="shared" si="0"/>
        <v>0.65212036070000001</v>
      </c>
      <c r="S26" s="398" t="str">
        <f>IF(D26="","",VLOOKUP(D26,'G-6 Hedgerow Data'!$B$3:$AG$15,31,FALSE))</f>
        <v>Low</v>
      </c>
      <c r="T26" s="370" t="str">
        <f t="shared" si="3"/>
        <v>Standard difficulty applied</v>
      </c>
      <c r="U26" s="370" t="str">
        <f t="shared" si="4"/>
        <v>Low</v>
      </c>
      <c r="V26" s="386">
        <f>IF(D26="","",VLOOKUP(S26,'G-3 Multipliers'!$P$3:$Q$6,2,FALSE))</f>
        <v>1</v>
      </c>
      <c r="W26" s="390">
        <f t="shared" si="5"/>
        <v>2.7537760885622236</v>
      </c>
      <c r="X26" s="117"/>
      <c r="Y26" s="118"/>
      <c r="Z26" s="120"/>
      <c r="AG26" s="30" t="str">
        <f>IFERROR(INDEX('G-6 Hedgerow Data'!$BJ$3:$BJ$15,MATCH(D26,'G-6 Hedgerow Data'!$B$3:$B$15,0)),"")</f>
        <v>Hedgecond1</v>
      </c>
    </row>
    <row r="27" spans="2:33" ht="28.5" x14ac:dyDescent="0.2">
      <c r="B27" s="110">
        <v>16</v>
      </c>
      <c r="C27" s="167">
        <v>16</v>
      </c>
      <c r="D27" s="63" t="s">
        <v>171</v>
      </c>
      <c r="E27" s="53">
        <v>0.58702674741947125</v>
      </c>
      <c r="F27" s="411" t="str">
        <f>IF(D27="","",VLOOKUP(D27,'G-6 Hedgerow Data'!$B$2:$AG$15,2,FALSE))</f>
        <v>Medium</v>
      </c>
      <c r="G27" s="363">
        <f>IF(D27="","",VLOOKUP(D27,'G-6 Hedgerow Data'!$B$2:$AG$15,3,FALSE))</f>
        <v>4</v>
      </c>
      <c r="H27" s="114" t="s">
        <v>68</v>
      </c>
      <c r="I27" s="363">
        <f>IFERROR(VLOOKUP(H27,'G-1 All Habitats'!$Z$2:$AA$9,2,FALSE),"")</f>
        <v>3</v>
      </c>
      <c r="J27" s="114" t="s">
        <v>1037</v>
      </c>
      <c r="K27" s="382" t="str">
        <f>IF(J27="","",IF(VLOOKUP(J27,'G-3 Multipliers'!$L$3:$N$6,2,FALSE)=0,"Spatial Data Missing ⚠",VLOOKUP(J27,'G-3 Multipliers'!$L$3:$N$6,2,FALSE)))</f>
        <v>Low Strategic Significance</v>
      </c>
      <c r="L27" s="368">
        <f>IF(J27="","",IF(VLOOKUP(J27,'G-3 Multipliers'!$L$3:$N$6,3,FALSE)=0,"Spatial Data Missing ⚠",VLOOKUP(J27,'G-3 Multipliers'!$L$3:$N$6,3,FALSE)))</f>
        <v>1</v>
      </c>
      <c r="M27" s="362">
        <f>IF(OR(D27="",H27=""),"",(INDEX('G-6 Hedgerow Data'!$E$3:$I$15,MATCH(D27,'G-6 Hedgerow Data'!$B$3:$B$15,0),MATCH(H27,'G-6 Hedgerow Data'!$E$2:$I$2,0))))</f>
        <v>12</v>
      </c>
      <c r="N27" s="159"/>
      <c r="O27" s="159"/>
      <c r="P27" s="370" t="str">
        <f t="shared" si="1"/>
        <v>Standard time to target condition applied</v>
      </c>
      <c r="Q27" s="383">
        <f t="shared" si="2"/>
        <v>12</v>
      </c>
      <c r="R27" s="384">
        <f t="shared" si="0"/>
        <v>0.65212036070000001</v>
      </c>
      <c r="S27" s="398" t="str">
        <f>IF(D27="","",VLOOKUP(D27,'G-6 Hedgerow Data'!$B$3:$AG$15,31,FALSE))</f>
        <v>Low</v>
      </c>
      <c r="T27" s="370" t="str">
        <f t="shared" si="3"/>
        <v>Standard difficulty applied</v>
      </c>
      <c r="U27" s="370" t="str">
        <f t="shared" si="4"/>
        <v>Low</v>
      </c>
      <c r="V27" s="386">
        <f>IF(D27="","",VLOOKUP(S27,'G-3 Multipliers'!$P$3:$Q$6,2,FALSE))</f>
        <v>1</v>
      </c>
      <c r="W27" s="390">
        <f t="shared" si="5"/>
        <v>4.5937451312128008</v>
      </c>
      <c r="X27" s="117"/>
      <c r="Y27" s="118"/>
      <c r="Z27" s="120"/>
      <c r="AG27" s="30" t="str">
        <f>IFERROR(INDEX('G-6 Hedgerow Data'!$BJ$3:$BJ$15,MATCH(D27,'G-6 Hedgerow Data'!$B$3:$B$15,0)),"")</f>
        <v>Hedgecond1</v>
      </c>
    </row>
    <row r="28" spans="2:33" ht="28.5" x14ac:dyDescent="0.2">
      <c r="B28" s="110">
        <v>17</v>
      </c>
      <c r="C28" s="167">
        <v>17</v>
      </c>
      <c r="D28" s="63" t="s">
        <v>171</v>
      </c>
      <c r="E28" s="53">
        <v>0.22570907091344239</v>
      </c>
      <c r="F28" s="411" t="str">
        <f>IF(D28="","",VLOOKUP(D28,'G-6 Hedgerow Data'!$B$2:$AG$15,2,FALSE))</f>
        <v>Medium</v>
      </c>
      <c r="G28" s="363">
        <f>IF(D28="","",VLOOKUP(D28,'G-6 Hedgerow Data'!$B$2:$AG$15,3,FALSE))</f>
        <v>4</v>
      </c>
      <c r="H28" s="114" t="s">
        <v>68</v>
      </c>
      <c r="I28" s="363">
        <f>IFERROR(VLOOKUP(H28,'G-1 All Habitats'!$Z$2:$AA$9,2,FALSE),"")</f>
        <v>3</v>
      </c>
      <c r="J28" s="114" t="s">
        <v>1037</v>
      </c>
      <c r="K28" s="382" t="str">
        <f>IF(J28="","",IF(VLOOKUP(J28,'G-3 Multipliers'!$L$3:$N$6,2,FALSE)=0,"Spatial Data Missing ⚠",VLOOKUP(J28,'G-3 Multipliers'!$L$3:$N$6,2,FALSE)))</f>
        <v>Low Strategic Significance</v>
      </c>
      <c r="L28" s="368">
        <f>IF(J28="","",IF(VLOOKUP(J28,'G-3 Multipliers'!$L$3:$N$6,3,FALSE)=0,"Spatial Data Missing ⚠",VLOOKUP(J28,'G-3 Multipliers'!$L$3:$N$6,3,FALSE)))</f>
        <v>1</v>
      </c>
      <c r="M28" s="362">
        <f>IF(OR(D28="",H28=""),"",(INDEX('G-6 Hedgerow Data'!$E$3:$I$15,MATCH(D28,'G-6 Hedgerow Data'!$B$3:$B$15,0),MATCH(H28,'G-6 Hedgerow Data'!$E$2:$I$2,0))))</f>
        <v>12</v>
      </c>
      <c r="N28" s="159"/>
      <c r="O28" s="159"/>
      <c r="P28" s="370" t="str">
        <f t="shared" si="1"/>
        <v>Standard time to target condition applied</v>
      </c>
      <c r="Q28" s="383">
        <f t="shared" si="2"/>
        <v>12</v>
      </c>
      <c r="R28" s="384">
        <f t="shared" si="0"/>
        <v>0.65212036070000001</v>
      </c>
      <c r="S28" s="398" t="str">
        <f>IF(D28="","",VLOOKUP(D28,'G-6 Hedgerow Data'!$B$3:$AG$15,31,FALSE))</f>
        <v>Low</v>
      </c>
      <c r="T28" s="370" t="str">
        <f t="shared" si="3"/>
        <v>Standard difficulty applied</v>
      </c>
      <c r="U28" s="370" t="str">
        <f t="shared" si="4"/>
        <v>Low</v>
      </c>
      <c r="V28" s="386">
        <f>IF(D28="","",VLOOKUP(S28,'G-3 Multipliers'!$P$3:$Q$6,2,FALSE))</f>
        <v>1</v>
      </c>
      <c r="W28" s="390">
        <f t="shared" si="5"/>
        <v>1.7662737688480312</v>
      </c>
      <c r="X28" s="117"/>
      <c r="Y28" s="118"/>
      <c r="Z28" s="120"/>
      <c r="AG28" s="30" t="str">
        <f>IFERROR(INDEX('G-6 Hedgerow Data'!$BJ$3:$BJ$15,MATCH(D28,'G-6 Hedgerow Data'!$B$3:$B$15,0)),"")</f>
        <v>Hedgecond1</v>
      </c>
    </row>
    <row r="29" spans="2:33" ht="28.5" x14ac:dyDescent="0.2">
      <c r="B29" s="110">
        <v>18</v>
      </c>
      <c r="C29" s="167">
        <v>18</v>
      </c>
      <c r="D29" s="159" t="s">
        <v>171</v>
      </c>
      <c r="E29" s="139">
        <v>0.12427410654114961</v>
      </c>
      <c r="F29" s="411" t="str">
        <f>IF(D29="","",VLOOKUP(D29,'G-6 Hedgerow Data'!$B$2:$AG$15,2,FALSE))</f>
        <v>Medium</v>
      </c>
      <c r="G29" s="363">
        <f>IF(D29="","",VLOOKUP(D29,'G-6 Hedgerow Data'!$B$2:$AG$15,3,FALSE))</f>
        <v>4</v>
      </c>
      <c r="H29" s="114" t="s">
        <v>68</v>
      </c>
      <c r="I29" s="363">
        <f>IFERROR(VLOOKUP(H29,'G-1 All Habitats'!$Z$2:$AA$9,2,FALSE),"")</f>
        <v>3</v>
      </c>
      <c r="J29" s="114" t="s">
        <v>1037</v>
      </c>
      <c r="K29" s="382" t="str">
        <f>IF(J29="","",IF(VLOOKUP(J29,'G-3 Multipliers'!$L$3:$N$6,2,FALSE)=0,"Spatial Data Missing ⚠",VLOOKUP(J29,'G-3 Multipliers'!$L$3:$N$6,2,FALSE)))</f>
        <v>Low Strategic Significance</v>
      </c>
      <c r="L29" s="368">
        <f>IF(J29="","",IF(VLOOKUP(J29,'G-3 Multipliers'!$L$3:$N$6,3,FALSE)=0,"Spatial Data Missing ⚠",VLOOKUP(J29,'G-3 Multipliers'!$L$3:$N$6,3,FALSE)))</f>
        <v>1</v>
      </c>
      <c r="M29" s="362">
        <f>IF(OR(D29="",H29=""),"",(INDEX('G-6 Hedgerow Data'!$E$3:$I$15,MATCH(D29,'G-6 Hedgerow Data'!$B$3:$B$15,0),MATCH(H29,'G-6 Hedgerow Data'!$E$2:$I$2,0))))</f>
        <v>12</v>
      </c>
      <c r="N29" s="159"/>
      <c r="O29" s="159"/>
      <c r="P29" s="370" t="str">
        <f t="shared" si="1"/>
        <v>Standard time to target condition applied</v>
      </c>
      <c r="Q29" s="383">
        <f t="shared" si="2"/>
        <v>12</v>
      </c>
      <c r="R29" s="384">
        <f t="shared" si="0"/>
        <v>0.65212036070000001</v>
      </c>
      <c r="S29" s="398" t="str">
        <f>IF(D29="","",VLOOKUP(D29,'G-6 Hedgerow Data'!$B$3:$AG$15,31,FALSE))</f>
        <v>Low</v>
      </c>
      <c r="T29" s="370" t="str">
        <f t="shared" si="3"/>
        <v>Standard difficulty applied</v>
      </c>
      <c r="U29" s="370" t="str">
        <f t="shared" si="4"/>
        <v>Low</v>
      </c>
      <c r="V29" s="386">
        <f>IF(D29="","",VLOOKUP(S29,'G-3 Multipliers'!$P$3:$Q$6,2,FALSE))</f>
        <v>1</v>
      </c>
      <c r="W29" s="390">
        <f t="shared" si="5"/>
        <v>0.97250010219941652</v>
      </c>
      <c r="X29" s="117"/>
      <c r="Y29" s="118"/>
      <c r="Z29" s="120"/>
      <c r="AG29" s="30" t="str">
        <f>IFERROR(INDEX('G-6 Hedgerow Data'!$BJ$3:$BJ$15,MATCH(D29,'G-6 Hedgerow Data'!$B$3:$B$15,0)),"")</f>
        <v>Hedgecond1</v>
      </c>
    </row>
    <row r="30" spans="2:33" ht="28.5" x14ac:dyDescent="0.2">
      <c r="B30" s="110">
        <v>19</v>
      </c>
      <c r="C30" s="167">
        <v>19</v>
      </c>
      <c r="D30" s="159" t="s">
        <v>171</v>
      </c>
      <c r="E30" s="139">
        <v>0.1543803042893338</v>
      </c>
      <c r="F30" s="398" t="str">
        <f>IF(D30="","",VLOOKUP(D30,'G-6 Hedgerow Data'!$B$2:$AG$15,2,FALSE))</f>
        <v>Medium</v>
      </c>
      <c r="G30" s="368">
        <f>IF(D30="","",VLOOKUP(D30,'G-6 Hedgerow Data'!$B$2:$AG$15,3,FALSE))</f>
        <v>4</v>
      </c>
      <c r="H30" s="115" t="s">
        <v>68</v>
      </c>
      <c r="I30" s="363">
        <f>IFERROR(VLOOKUP(H30,'G-1 All Habitats'!$Z$2:$AA$9,2,FALSE),"")</f>
        <v>3</v>
      </c>
      <c r="J30" s="114" t="s">
        <v>1037</v>
      </c>
      <c r="K30" s="382" t="str">
        <f>IF(J30="","",IF(VLOOKUP(J30,'G-3 Multipliers'!$L$3:$N$6,2,FALSE)=0,"Spatial Data Missing ⚠",VLOOKUP(J30,'G-3 Multipliers'!$L$3:$N$6,2,FALSE)))</f>
        <v>Low Strategic Significance</v>
      </c>
      <c r="L30" s="368">
        <f>IF(J30="","",IF(VLOOKUP(J30,'G-3 Multipliers'!$L$3:$N$6,3,FALSE)=0,"Spatial Data Missing ⚠",VLOOKUP(J30,'G-3 Multipliers'!$L$3:$N$6,3,FALSE)))</f>
        <v>1</v>
      </c>
      <c r="M30" s="362">
        <f>IF(OR(D30="",H30=""),"",(INDEX('G-6 Hedgerow Data'!$E$3:$I$15,MATCH(D30,'G-6 Hedgerow Data'!$B$3:$B$15,0),MATCH(H30,'G-6 Hedgerow Data'!$E$2:$I$2,0))))</f>
        <v>12</v>
      </c>
      <c r="N30" s="159"/>
      <c r="O30" s="159"/>
      <c r="P30" s="370" t="str">
        <f t="shared" si="1"/>
        <v>Standard time to target condition applied</v>
      </c>
      <c r="Q30" s="383">
        <f t="shared" si="2"/>
        <v>12</v>
      </c>
      <c r="R30" s="384">
        <f t="shared" si="0"/>
        <v>0.65212036070000001</v>
      </c>
      <c r="S30" s="398" t="str">
        <f>IF(D30="","",VLOOKUP(D30,'G-6 Hedgerow Data'!$B$3:$AG$15,31,FALSE))</f>
        <v>Low</v>
      </c>
      <c r="T30" s="370" t="str">
        <f t="shared" si="3"/>
        <v>Standard difficulty applied</v>
      </c>
      <c r="U30" s="370" t="str">
        <f t="shared" si="4"/>
        <v>Low</v>
      </c>
      <c r="V30" s="386">
        <f>IF(D30="","",VLOOKUP(S30,'G-3 Multipliers'!$P$3:$Q$6,2,FALSE))</f>
        <v>1</v>
      </c>
      <c r="W30" s="390">
        <f t="shared" si="5"/>
        <v>1.2080944766176334</v>
      </c>
      <c r="X30" s="117"/>
      <c r="Y30" s="118"/>
      <c r="Z30" s="120"/>
      <c r="AG30" s="30" t="str">
        <f>IFERROR(INDEX('G-6 Hedgerow Data'!$BJ$3:$BJ$15,MATCH(D30,'G-6 Hedgerow Data'!$B$3:$B$15,0)),"")</f>
        <v>Hedgecond1</v>
      </c>
    </row>
    <row r="31" spans="2:33" ht="28.5" x14ac:dyDescent="0.2">
      <c r="B31" s="110">
        <v>20</v>
      </c>
      <c r="C31" s="167">
        <v>20</v>
      </c>
      <c r="D31" s="159" t="s">
        <v>171</v>
      </c>
      <c r="E31" s="139">
        <v>0.1015627076215869</v>
      </c>
      <c r="F31" s="362" t="str">
        <f>IF(D31="","",VLOOKUP(D31,'G-6 Hedgerow Data'!$B$2:$AG$15,2,FALSE))</f>
        <v>Medium</v>
      </c>
      <c r="G31" s="368">
        <f>IF(D31="","",VLOOKUP(D31,'G-6 Hedgerow Data'!$B$2:$AG$15,3,FALSE))</f>
        <v>4</v>
      </c>
      <c r="H31" s="54" t="s">
        <v>68</v>
      </c>
      <c r="I31" s="363">
        <f>IFERROR(VLOOKUP(H31,'G-1 All Habitats'!$Z$2:$AA$9,2,FALSE),"")</f>
        <v>3</v>
      </c>
      <c r="J31" s="114" t="s">
        <v>1037</v>
      </c>
      <c r="K31" s="382" t="str">
        <f>IF(J31="","",IF(VLOOKUP(J31,'G-3 Multipliers'!$L$3:$N$6,2,FALSE)=0,"Spatial Data Missing ⚠",VLOOKUP(J31,'G-3 Multipliers'!$L$3:$N$6,2,FALSE)))</f>
        <v>Low Strategic Significance</v>
      </c>
      <c r="L31" s="368">
        <f>IF(J31="","",IF(VLOOKUP(J31,'G-3 Multipliers'!$L$3:$N$6,3,FALSE)=0,"Spatial Data Missing ⚠",VLOOKUP(J31,'G-3 Multipliers'!$L$3:$N$6,3,FALSE)))</f>
        <v>1</v>
      </c>
      <c r="M31" s="362">
        <f>IF(OR(D31="",H31=""),"",(INDEX('G-6 Hedgerow Data'!$E$3:$I$15,MATCH(D31,'G-6 Hedgerow Data'!$B$3:$B$15,0),MATCH(H31,'G-6 Hedgerow Data'!$E$2:$I$2,0))))</f>
        <v>12</v>
      </c>
      <c r="N31" s="159"/>
      <c r="O31" s="159"/>
      <c r="P31" s="370" t="str">
        <f t="shared" si="1"/>
        <v>Standard time to target condition applied</v>
      </c>
      <c r="Q31" s="383">
        <f t="shared" si="2"/>
        <v>12</v>
      </c>
      <c r="R31" s="384">
        <f t="shared" si="0"/>
        <v>0.65212036070000001</v>
      </c>
      <c r="S31" s="398" t="str">
        <f>IF(D31="","",VLOOKUP(D31,'G-6 Hedgerow Data'!$B$3:$AG$15,31,FALSE))</f>
        <v>Low</v>
      </c>
      <c r="T31" s="370" t="str">
        <f t="shared" si="3"/>
        <v>Standard difficulty applied</v>
      </c>
      <c r="U31" s="370" t="str">
        <f t="shared" si="4"/>
        <v>Low</v>
      </c>
      <c r="V31" s="386">
        <f>IF(D31="","",VLOOKUP(S31,'G-3 Multipliers'!$P$3:$Q$6,2,FALSE))</f>
        <v>1</v>
      </c>
      <c r="W31" s="390">
        <f t="shared" si="5"/>
        <v>0.79477331433429454</v>
      </c>
      <c r="X31" s="117"/>
      <c r="Y31" s="118"/>
      <c r="Z31" s="120"/>
      <c r="AG31" s="30" t="str">
        <f>IFERROR(INDEX('G-6 Hedgerow Data'!$BJ$3:$BJ$15,MATCH(D31,'G-6 Hedgerow Data'!$B$3:$B$15,0)),"")</f>
        <v>Hedgecond1</v>
      </c>
    </row>
    <row r="32" spans="2:33" ht="28.5" x14ac:dyDescent="0.2">
      <c r="B32" s="110">
        <v>21</v>
      </c>
      <c r="C32" s="167">
        <v>21</v>
      </c>
      <c r="D32" s="159" t="s">
        <v>171</v>
      </c>
      <c r="E32" s="139">
        <v>0.10209308498032379</v>
      </c>
      <c r="F32" s="362" t="str">
        <f>IF(D32="","",VLOOKUP(D32,'G-6 Hedgerow Data'!$B$2:$AG$15,2,FALSE))</f>
        <v>Medium</v>
      </c>
      <c r="G32" s="368">
        <f>IF(D32="","",VLOOKUP(D32,'G-6 Hedgerow Data'!$B$2:$AG$15,3,FALSE))</f>
        <v>4</v>
      </c>
      <c r="H32" s="54" t="s">
        <v>68</v>
      </c>
      <c r="I32" s="363">
        <f>IFERROR(VLOOKUP(H32,'G-1 All Habitats'!$Z$2:$AA$9,2,FALSE),"")</f>
        <v>3</v>
      </c>
      <c r="J32" s="114" t="s">
        <v>1037</v>
      </c>
      <c r="K32" s="382" t="str">
        <f>IF(J32="","",IF(VLOOKUP(J32,'G-3 Multipliers'!$L$3:$N$6,2,FALSE)=0,"Spatial Data Missing ⚠",VLOOKUP(J32,'G-3 Multipliers'!$L$3:$N$6,2,FALSE)))</f>
        <v>Low Strategic Significance</v>
      </c>
      <c r="L32" s="368">
        <f>IF(J32="","",IF(VLOOKUP(J32,'G-3 Multipliers'!$L$3:$N$6,3,FALSE)=0,"Spatial Data Missing ⚠",VLOOKUP(J32,'G-3 Multipliers'!$L$3:$N$6,3,FALSE)))</f>
        <v>1</v>
      </c>
      <c r="M32" s="362">
        <f>IF(OR(D32="",H32=""),"",(INDEX('G-6 Hedgerow Data'!$E$3:$I$15,MATCH(D32,'G-6 Hedgerow Data'!$B$3:$B$15,0),MATCH(H32,'G-6 Hedgerow Data'!$E$2:$I$2,0))))</f>
        <v>12</v>
      </c>
      <c r="N32" s="159"/>
      <c r="O32" s="159"/>
      <c r="P32" s="370" t="str">
        <f t="shared" si="1"/>
        <v>Standard time to target condition applied</v>
      </c>
      <c r="Q32" s="383">
        <f t="shared" si="2"/>
        <v>12</v>
      </c>
      <c r="R32" s="384">
        <f t="shared" si="0"/>
        <v>0.65212036070000001</v>
      </c>
      <c r="S32" s="398" t="str">
        <f>IF(D32="","",VLOOKUP(D32,'G-6 Hedgerow Data'!$B$3:$AG$15,31,FALSE))</f>
        <v>Low</v>
      </c>
      <c r="T32" s="370" t="str">
        <f t="shared" si="3"/>
        <v>Standard difficulty applied</v>
      </c>
      <c r="U32" s="370" t="str">
        <f t="shared" si="4"/>
        <v>Low</v>
      </c>
      <c r="V32" s="386">
        <f>IF(D32="","",VLOOKUP(S32,'G-3 Multipliers'!$P$3:$Q$6,2,FALSE))</f>
        <v>1</v>
      </c>
      <c r="W32" s="390">
        <f t="shared" si="5"/>
        <v>0.7989237528281341</v>
      </c>
      <c r="X32" s="117"/>
      <c r="Y32" s="118"/>
      <c r="Z32" s="120"/>
      <c r="AG32" s="30" t="str">
        <f>IFERROR(INDEX('G-6 Hedgerow Data'!$BJ$3:$BJ$15,MATCH(D32,'G-6 Hedgerow Data'!$B$3:$B$15,0)),"")</f>
        <v>Hedgecond1</v>
      </c>
    </row>
    <row r="33" spans="2:33" ht="28.5" x14ac:dyDescent="0.2">
      <c r="B33" s="110">
        <v>22</v>
      </c>
      <c r="C33" s="167">
        <v>22</v>
      </c>
      <c r="D33" s="159" t="s">
        <v>171</v>
      </c>
      <c r="E33" s="139">
        <v>0.3499449440802605</v>
      </c>
      <c r="F33" s="362" t="str">
        <f>IF(D33="","",VLOOKUP(D33,'G-6 Hedgerow Data'!$B$2:$AG$15,2,FALSE))</f>
        <v>Medium</v>
      </c>
      <c r="G33" s="368">
        <f>IF(D33="","",VLOOKUP(D33,'G-6 Hedgerow Data'!$B$2:$AG$15,3,FALSE))</f>
        <v>4</v>
      </c>
      <c r="H33" s="54" t="s">
        <v>68</v>
      </c>
      <c r="I33" s="363">
        <f>IFERROR(VLOOKUP(H33,'G-1 All Habitats'!$Z$2:$AA$9,2,FALSE),"")</f>
        <v>3</v>
      </c>
      <c r="J33" s="114" t="s">
        <v>1037</v>
      </c>
      <c r="K33" s="382" t="str">
        <f>IF(J33="","",IF(VLOOKUP(J33,'G-3 Multipliers'!$L$3:$N$6,2,FALSE)=0,"Spatial Data Missing ⚠",VLOOKUP(J33,'G-3 Multipliers'!$L$3:$N$6,2,FALSE)))</f>
        <v>Low Strategic Significance</v>
      </c>
      <c r="L33" s="368">
        <f>IF(J33="","",IF(VLOOKUP(J33,'G-3 Multipliers'!$L$3:$N$6,3,FALSE)=0,"Spatial Data Missing ⚠",VLOOKUP(J33,'G-3 Multipliers'!$L$3:$N$6,3,FALSE)))</f>
        <v>1</v>
      </c>
      <c r="M33" s="362">
        <f>IF(OR(D33="",H33=""),"",(INDEX('G-6 Hedgerow Data'!$E$3:$I$15,MATCH(D33,'G-6 Hedgerow Data'!$B$3:$B$15,0),MATCH(H33,'G-6 Hedgerow Data'!$E$2:$I$2,0))))</f>
        <v>12</v>
      </c>
      <c r="N33" s="159"/>
      <c r="O33" s="159"/>
      <c r="P33" s="370" t="str">
        <f t="shared" si="1"/>
        <v>Standard time to target condition applied</v>
      </c>
      <c r="Q33" s="383">
        <f t="shared" si="2"/>
        <v>12</v>
      </c>
      <c r="R33" s="384">
        <f t="shared" si="0"/>
        <v>0.65212036070000001</v>
      </c>
      <c r="S33" s="398" t="str">
        <f>IF(D33="","",VLOOKUP(D33,'G-6 Hedgerow Data'!$B$3:$AG$15,31,FALSE))</f>
        <v>Low</v>
      </c>
      <c r="T33" s="370" t="str">
        <f t="shared" si="3"/>
        <v>Standard difficulty applied</v>
      </c>
      <c r="U33" s="370" t="str">
        <f t="shared" si="4"/>
        <v>Low</v>
      </c>
      <c r="V33" s="386">
        <f>IF(D33="","",VLOOKUP(S33,'G-3 Multipliers'!$P$3:$Q$6,2,FALSE))</f>
        <v>1</v>
      </c>
      <c r="W33" s="390">
        <f t="shared" si="5"/>
        <v>2.7384746779051299</v>
      </c>
      <c r="X33" s="117"/>
      <c r="Y33" s="118"/>
      <c r="Z33" s="120"/>
      <c r="AG33" s="30" t="str">
        <f>IFERROR(INDEX('G-6 Hedgerow Data'!$BJ$3:$BJ$15,MATCH(D33,'G-6 Hedgerow Data'!$B$3:$B$15,0)),"")</f>
        <v>Hedgecond1</v>
      </c>
    </row>
    <row r="34" spans="2:33" ht="28.5" x14ac:dyDescent="0.2">
      <c r="B34" s="110">
        <v>23</v>
      </c>
      <c r="C34" s="167">
        <v>23</v>
      </c>
      <c r="D34" s="159" t="s">
        <v>171</v>
      </c>
      <c r="E34" s="139">
        <v>0.30941541048110588</v>
      </c>
      <c r="F34" s="362" t="str">
        <f>IF(D34="","",VLOOKUP(D34,'G-6 Hedgerow Data'!$B$2:$AG$15,2,FALSE))</f>
        <v>Medium</v>
      </c>
      <c r="G34" s="368">
        <f>IF(D34="","",VLOOKUP(D34,'G-6 Hedgerow Data'!$B$2:$AG$15,3,FALSE))</f>
        <v>4</v>
      </c>
      <c r="H34" s="54" t="s">
        <v>68</v>
      </c>
      <c r="I34" s="363">
        <f>IFERROR(VLOOKUP(H34,'G-1 All Habitats'!$Z$2:$AA$9,2,FALSE),"")</f>
        <v>3</v>
      </c>
      <c r="J34" s="114" t="s">
        <v>1037</v>
      </c>
      <c r="K34" s="382" t="str">
        <f>IF(J34="","",IF(VLOOKUP(J34,'G-3 Multipliers'!$L$3:$N$6,2,FALSE)=0,"Spatial Data Missing ⚠",VLOOKUP(J34,'G-3 Multipliers'!$L$3:$N$6,2,FALSE)))</f>
        <v>Low Strategic Significance</v>
      </c>
      <c r="L34" s="368">
        <f>IF(J34="","",IF(VLOOKUP(J34,'G-3 Multipliers'!$L$3:$N$6,3,FALSE)=0,"Spatial Data Missing ⚠",VLOOKUP(J34,'G-3 Multipliers'!$L$3:$N$6,3,FALSE)))</f>
        <v>1</v>
      </c>
      <c r="M34" s="362">
        <f>IF(OR(D34="",H34=""),"",(INDEX('G-6 Hedgerow Data'!$E$3:$I$15,MATCH(D34,'G-6 Hedgerow Data'!$B$3:$B$15,0),MATCH(H34,'G-6 Hedgerow Data'!$E$2:$I$2,0))))</f>
        <v>12</v>
      </c>
      <c r="N34" s="159"/>
      <c r="O34" s="159"/>
      <c r="P34" s="370" t="str">
        <f t="shared" si="1"/>
        <v>Standard time to target condition applied</v>
      </c>
      <c r="Q34" s="383">
        <f t="shared" si="2"/>
        <v>12</v>
      </c>
      <c r="R34" s="384">
        <f t="shared" si="0"/>
        <v>0.65212036070000001</v>
      </c>
      <c r="S34" s="398" t="str">
        <f>IF(D34="","",VLOOKUP(D34,'G-6 Hedgerow Data'!$B$3:$AG$15,31,FALSE))</f>
        <v>Low</v>
      </c>
      <c r="T34" s="370" t="str">
        <f t="shared" si="3"/>
        <v>Standard difficulty applied</v>
      </c>
      <c r="U34" s="370" t="str">
        <f t="shared" si="4"/>
        <v>Low</v>
      </c>
      <c r="V34" s="386">
        <f>IF(D34="","",VLOOKUP(S34,'G-3 Multipliers'!$P$3:$Q$6,2,FALSE))</f>
        <v>1</v>
      </c>
      <c r="W34" s="390">
        <f t="shared" si="5"/>
        <v>2.421313069068928</v>
      </c>
      <c r="X34" s="117"/>
      <c r="Y34" s="118"/>
      <c r="Z34" s="120"/>
      <c r="AG34" s="30" t="str">
        <f>IFERROR(INDEX('G-6 Hedgerow Data'!$BJ$3:$BJ$15,MATCH(D34,'G-6 Hedgerow Data'!$B$3:$B$15,0)),"")</f>
        <v>Hedgecond1</v>
      </c>
    </row>
    <row r="35" spans="2:33" ht="28.5" x14ac:dyDescent="0.2">
      <c r="B35" s="110">
        <v>24</v>
      </c>
      <c r="C35" s="167">
        <v>24</v>
      </c>
      <c r="D35" s="159" t="s">
        <v>171</v>
      </c>
      <c r="E35" s="139">
        <v>0.11829359632514561</v>
      </c>
      <c r="F35" s="362" t="str">
        <f>IF(D35="","",VLOOKUP(D35,'G-6 Hedgerow Data'!$B$2:$AG$15,2,FALSE))</f>
        <v>Medium</v>
      </c>
      <c r="G35" s="368">
        <f>IF(D35="","",VLOOKUP(D35,'G-6 Hedgerow Data'!$B$2:$AG$15,3,FALSE))</f>
        <v>4</v>
      </c>
      <c r="H35" s="54" t="s">
        <v>68</v>
      </c>
      <c r="I35" s="363">
        <f>IFERROR(VLOOKUP(H35,'G-1 All Habitats'!$Z$2:$AA$9,2,FALSE),"")</f>
        <v>3</v>
      </c>
      <c r="J35" s="114" t="s">
        <v>1037</v>
      </c>
      <c r="K35" s="382" t="str">
        <f>IF(J35="","",IF(VLOOKUP(J35,'G-3 Multipliers'!$L$3:$N$6,2,FALSE)=0,"Spatial Data Missing ⚠",VLOOKUP(J35,'G-3 Multipliers'!$L$3:$N$6,2,FALSE)))</f>
        <v>Low Strategic Significance</v>
      </c>
      <c r="L35" s="368">
        <f>IF(J35="","",IF(VLOOKUP(J35,'G-3 Multipliers'!$L$3:$N$6,3,FALSE)=0,"Spatial Data Missing ⚠",VLOOKUP(J35,'G-3 Multipliers'!$L$3:$N$6,3,FALSE)))</f>
        <v>1</v>
      </c>
      <c r="M35" s="362">
        <f>IF(OR(D35="",H35=""),"",(INDEX('G-6 Hedgerow Data'!$E$3:$I$15,MATCH(D35,'G-6 Hedgerow Data'!$B$3:$B$15,0),MATCH(H35,'G-6 Hedgerow Data'!$E$2:$I$2,0))))</f>
        <v>12</v>
      </c>
      <c r="N35" s="159"/>
      <c r="O35" s="159"/>
      <c r="P35" s="370" t="str">
        <f t="shared" si="1"/>
        <v>Standard time to target condition applied</v>
      </c>
      <c r="Q35" s="383">
        <f t="shared" si="2"/>
        <v>12</v>
      </c>
      <c r="R35" s="384">
        <f t="shared" si="0"/>
        <v>0.65212036070000001</v>
      </c>
      <c r="S35" s="398" t="str">
        <f>IF(D35="","",VLOOKUP(D35,'G-6 Hedgerow Data'!$B$3:$AG$15,31,FALSE))</f>
        <v>Low</v>
      </c>
      <c r="T35" s="370" t="str">
        <f t="shared" si="3"/>
        <v>Standard difficulty applied</v>
      </c>
      <c r="U35" s="370" t="str">
        <f t="shared" si="4"/>
        <v>Low</v>
      </c>
      <c r="V35" s="386">
        <f>IF(D35="","",VLOOKUP(S35,'G-3 Multipliers'!$P$3:$Q$6,2,FALSE))</f>
        <v>1</v>
      </c>
      <c r="W35" s="390">
        <f t="shared" si="5"/>
        <v>0.92569995244864989</v>
      </c>
      <c r="X35" s="117"/>
      <c r="Y35" s="118"/>
      <c r="Z35" s="120"/>
      <c r="AG35" s="30" t="str">
        <f>IFERROR(INDEX('G-6 Hedgerow Data'!$BJ$3:$BJ$15,MATCH(D35,'G-6 Hedgerow Data'!$B$3:$B$15,0)),"")</f>
        <v>Hedgecond1</v>
      </c>
    </row>
    <row r="36" spans="2:33" ht="28.5" x14ac:dyDescent="0.2">
      <c r="B36" s="110">
        <v>25</v>
      </c>
      <c r="C36" s="167">
        <v>25</v>
      </c>
      <c r="D36" s="159" t="s">
        <v>171</v>
      </c>
      <c r="E36" s="139">
        <v>0.1221473850038392</v>
      </c>
      <c r="F36" s="362" t="str">
        <f>IF(D36="","",VLOOKUP(D36,'G-6 Hedgerow Data'!$B$2:$AG$15,2,FALSE))</f>
        <v>Medium</v>
      </c>
      <c r="G36" s="368">
        <f>IF(D36="","",VLOOKUP(D36,'G-6 Hedgerow Data'!$B$2:$AG$15,3,FALSE))</f>
        <v>4</v>
      </c>
      <c r="H36" s="54" t="s">
        <v>68</v>
      </c>
      <c r="I36" s="363">
        <f>IFERROR(VLOOKUP(H36,'G-1 All Habitats'!$Z$2:$AA$9,2,FALSE),"")</f>
        <v>3</v>
      </c>
      <c r="J36" s="114" t="s">
        <v>1037</v>
      </c>
      <c r="K36" s="382" t="str">
        <f>IF(J36="","",IF(VLOOKUP(J36,'G-3 Multipliers'!$L$3:$N$6,2,FALSE)=0,"Spatial Data Missing ⚠",VLOOKUP(J36,'G-3 Multipliers'!$L$3:$N$6,2,FALSE)))</f>
        <v>Low Strategic Significance</v>
      </c>
      <c r="L36" s="368">
        <f>IF(J36="","",IF(VLOOKUP(J36,'G-3 Multipliers'!$L$3:$N$6,3,FALSE)=0,"Spatial Data Missing ⚠",VLOOKUP(J36,'G-3 Multipliers'!$L$3:$N$6,3,FALSE)))</f>
        <v>1</v>
      </c>
      <c r="M36" s="362">
        <f>IF(OR(D36="",H36=""),"",(INDEX('G-6 Hedgerow Data'!$E$3:$I$15,MATCH(D36,'G-6 Hedgerow Data'!$B$3:$B$15,0),MATCH(H36,'G-6 Hedgerow Data'!$E$2:$I$2,0))))</f>
        <v>12</v>
      </c>
      <c r="N36" s="159"/>
      <c r="O36" s="159"/>
      <c r="P36" s="370" t="str">
        <f t="shared" si="1"/>
        <v>Standard time to target condition applied</v>
      </c>
      <c r="Q36" s="383">
        <f t="shared" si="2"/>
        <v>12</v>
      </c>
      <c r="R36" s="384">
        <f t="shared" si="0"/>
        <v>0.65212036070000001</v>
      </c>
      <c r="S36" s="398" t="str">
        <f>IF(D36="","",VLOOKUP(D36,'G-6 Hedgerow Data'!$B$3:$AG$15,31,FALSE))</f>
        <v>Low</v>
      </c>
      <c r="T36" s="370" t="str">
        <f t="shared" si="3"/>
        <v>Standard difficulty applied</v>
      </c>
      <c r="U36" s="370" t="str">
        <f t="shared" si="4"/>
        <v>Low</v>
      </c>
      <c r="V36" s="386">
        <f>IF(D36="","",VLOOKUP(S36,'G-3 Multipliers'!$P$3:$Q$6,2,FALSE))</f>
        <v>1</v>
      </c>
      <c r="W36" s="390">
        <f t="shared" si="5"/>
        <v>0.95585756120718468</v>
      </c>
      <c r="X36" s="117"/>
      <c r="Y36" s="118"/>
      <c r="Z36" s="120"/>
      <c r="AG36" s="30" t="str">
        <f>IFERROR(INDEX('G-6 Hedgerow Data'!$BJ$3:$BJ$15,MATCH(D36,'G-6 Hedgerow Data'!$B$3:$B$15,0)),"")</f>
        <v>Hedgecond1</v>
      </c>
    </row>
    <row r="37" spans="2:33" ht="28.5" x14ac:dyDescent="0.2">
      <c r="B37" s="110">
        <v>26</v>
      </c>
      <c r="C37" s="167">
        <v>26</v>
      </c>
      <c r="D37" s="159" t="s">
        <v>171</v>
      </c>
      <c r="E37" s="139">
        <v>0.5843514837496907</v>
      </c>
      <c r="F37" s="411" t="str">
        <f>IF(D37="","",VLOOKUP(D37,'G-6 Hedgerow Data'!$B$2:$AG$15,2,FALSE))</f>
        <v>Medium</v>
      </c>
      <c r="G37" s="363">
        <f>IF(D37="","",VLOOKUP(D37,'G-6 Hedgerow Data'!$B$2:$AG$15,3,FALSE))</f>
        <v>4</v>
      </c>
      <c r="H37" s="114" t="s">
        <v>68</v>
      </c>
      <c r="I37" s="363">
        <f>IFERROR(VLOOKUP(H37,'G-1 All Habitats'!$Z$2:$AA$9,2,FALSE),"")</f>
        <v>3</v>
      </c>
      <c r="J37" s="114" t="s">
        <v>1037</v>
      </c>
      <c r="K37" s="382" t="str">
        <f>IF(J37="","",IF(VLOOKUP(J37,'G-3 Multipliers'!$L$3:$N$6,2,FALSE)=0,"Spatial Data Missing ⚠",VLOOKUP(J37,'G-3 Multipliers'!$L$3:$N$6,2,FALSE)))</f>
        <v>Low Strategic Significance</v>
      </c>
      <c r="L37" s="368">
        <f>IF(J37="","",IF(VLOOKUP(J37,'G-3 Multipliers'!$L$3:$N$6,3,FALSE)=0,"Spatial Data Missing ⚠",VLOOKUP(J37,'G-3 Multipliers'!$L$3:$N$6,3,FALSE)))</f>
        <v>1</v>
      </c>
      <c r="M37" s="362">
        <f>IF(OR(D37="",H37=""),"",(INDEX('G-6 Hedgerow Data'!$E$3:$I$15,MATCH(D37,'G-6 Hedgerow Data'!$B$3:$B$15,0),MATCH(H37,'G-6 Hedgerow Data'!$E$2:$I$2,0))))</f>
        <v>12</v>
      </c>
      <c r="N37" s="159"/>
      <c r="O37" s="159"/>
      <c r="P37" s="370" t="str">
        <f t="shared" si="1"/>
        <v>Standard time to target condition applied</v>
      </c>
      <c r="Q37" s="383">
        <f t="shared" si="2"/>
        <v>12</v>
      </c>
      <c r="R37" s="384">
        <f t="shared" si="0"/>
        <v>0.65212036070000001</v>
      </c>
      <c r="S37" s="398" t="str">
        <f>IF(D37="","",VLOOKUP(D37,'G-6 Hedgerow Data'!$B$3:$AG$15,31,FALSE))</f>
        <v>Low</v>
      </c>
      <c r="T37" s="370" t="str">
        <f t="shared" si="3"/>
        <v>Standard difficulty applied</v>
      </c>
      <c r="U37" s="370" t="str">
        <f t="shared" si="4"/>
        <v>Low</v>
      </c>
      <c r="V37" s="386">
        <f>IF(D37="","",VLOOKUP(S37,'G-3 Multipliers'!$P$3:$Q$6,2,FALSE))</f>
        <v>1</v>
      </c>
      <c r="W37" s="390">
        <f t="shared" si="5"/>
        <v>4.5728100043011413</v>
      </c>
      <c r="X37" s="117"/>
      <c r="Y37" s="118"/>
      <c r="Z37" s="120"/>
      <c r="AG37" s="30" t="str">
        <f>IFERROR(INDEX('G-6 Hedgerow Data'!$BJ$3:$BJ$15,MATCH(D37,'G-6 Hedgerow Data'!$B$3:$B$15,0)),"")</f>
        <v>Hedgecond1</v>
      </c>
    </row>
    <row r="38" spans="2:33" ht="28.5" x14ac:dyDescent="0.2">
      <c r="B38" s="110">
        <v>27</v>
      </c>
      <c r="C38" s="167">
        <v>27</v>
      </c>
      <c r="D38" s="159" t="s">
        <v>171</v>
      </c>
      <c r="E38" s="139">
        <v>2.9383925021579011E-2</v>
      </c>
      <c r="F38" s="411" t="str">
        <f>IF(D38="","",VLOOKUP(D38,'G-6 Hedgerow Data'!$B$2:$AG$15,2,FALSE))</f>
        <v>Medium</v>
      </c>
      <c r="G38" s="363">
        <f>IF(D38="","",VLOOKUP(D38,'G-6 Hedgerow Data'!$B$2:$AG$15,3,FALSE))</f>
        <v>4</v>
      </c>
      <c r="H38" s="114" t="s">
        <v>68</v>
      </c>
      <c r="I38" s="363">
        <f>IFERROR(VLOOKUP(H38,'G-1 All Habitats'!$Z$2:$AA$9,2,FALSE),"")</f>
        <v>3</v>
      </c>
      <c r="J38" s="114" t="s">
        <v>1037</v>
      </c>
      <c r="K38" s="382" t="str">
        <f>IF(J38="","",IF(VLOOKUP(J38,'G-3 Multipliers'!$L$3:$N$6,2,FALSE)=0,"Spatial Data Missing ⚠",VLOOKUP(J38,'G-3 Multipliers'!$L$3:$N$6,2,FALSE)))</f>
        <v>Low Strategic Significance</v>
      </c>
      <c r="L38" s="368">
        <f>IF(J38="","",IF(VLOOKUP(J38,'G-3 Multipliers'!$L$3:$N$6,3,FALSE)=0,"Spatial Data Missing ⚠",VLOOKUP(J38,'G-3 Multipliers'!$L$3:$N$6,3,FALSE)))</f>
        <v>1</v>
      </c>
      <c r="M38" s="362">
        <f>IF(OR(D38="",H38=""),"",(INDEX('G-6 Hedgerow Data'!$E$3:$I$15,MATCH(D38,'G-6 Hedgerow Data'!$B$3:$B$15,0),MATCH(H38,'G-6 Hedgerow Data'!$E$2:$I$2,0))))</f>
        <v>12</v>
      </c>
      <c r="N38" s="159"/>
      <c r="O38" s="159"/>
      <c r="P38" s="370" t="str">
        <f t="shared" si="1"/>
        <v>Standard time to target condition applied</v>
      </c>
      <c r="Q38" s="383">
        <f t="shared" si="2"/>
        <v>12</v>
      </c>
      <c r="R38" s="384">
        <f t="shared" si="0"/>
        <v>0.65212036070000001</v>
      </c>
      <c r="S38" s="398" t="str">
        <f>IF(D38="","",VLOOKUP(D38,'G-6 Hedgerow Data'!$B$3:$AG$15,31,FALSE))</f>
        <v>Low</v>
      </c>
      <c r="T38" s="370" t="str">
        <f t="shared" si="3"/>
        <v>Standard difficulty applied</v>
      </c>
      <c r="U38" s="370" t="str">
        <f t="shared" si="4"/>
        <v>Low</v>
      </c>
      <c r="V38" s="386">
        <f>IF(D38="","",VLOOKUP(S38,'G-3 Multipliers'!$P$3:$Q$6,2,FALSE))</f>
        <v>1</v>
      </c>
      <c r="W38" s="390">
        <f t="shared" si="5"/>
        <v>0.22994226940624635</v>
      </c>
      <c r="X38" s="117"/>
      <c r="Y38" s="118"/>
      <c r="Z38" s="120"/>
      <c r="AG38" s="30" t="str">
        <f>IFERROR(INDEX('G-6 Hedgerow Data'!$BJ$3:$BJ$15,MATCH(D38,'G-6 Hedgerow Data'!$B$3:$B$15,0)),"")</f>
        <v>Hedgecond1</v>
      </c>
    </row>
    <row r="39" spans="2:33" ht="28.5" x14ac:dyDescent="0.2">
      <c r="B39" s="110">
        <v>28</v>
      </c>
      <c r="C39" s="167">
        <v>28</v>
      </c>
      <c r="D39" s="159" t="s">
        <v>171</v>
      </c>
      <c r="E39" s="139">
        <v>0.41587100224497969</v>
      </c>
      <c r="F39" s="411" t="str">
        <f>IF(D39="","",VLOOKUP(D39,'G-6 Hedgerow Data'!$B$2:$AG$15,2,FALSE))</f>
        <v>Medium</v>
      </c>
      <c r="G39" s="363">
        <f>IF(D39="","",VLOOKUP(D39,'G-6 Hedgerow Data'!$B$2:$AG$15,3,FALSE))</f>
        <v>4</v>
      </c>
      <c r="H39" s="114" t="s">
        <v>68</v>
      </c>
      <c r="I39" s="363">
        <f>IFERROR(VLOOKUP(H39,'G-1 All Habitats'!$Z$2:$AA$9,2,FALSE),"")</f>
        <v>3</v>
      </c>
      <c r="J39" s="114" t="s">
        <v>1037</v>
      </c>
      <c r="K39" s="382" t="str">
        <f>IF(J39="","",IF(VLOOKUP(J39,'G-3 Multipliers'!$L$3:$N$6,2,FALSE)=0,"Spatial Data Missing ⚠",VLOOKUP(J39,'G-3 Multipliers'!$L$3:$N$6,2,FALSE)))</f>
        <v>Low Strategic Significance</v>
      </c>
      <c r="L39" s="368">
        <f>IF(J39="","",IF(VLOOKUP(J39,'G-3 Multipliers'!$L$3:$N$6,3,FALSE)=0,"Spatial Data Missing ⚠",VLOOKUP(J39,'G-3 Multipliers'!$L$3:$N$6,3,FALSE)))</f>
        <v>1</v>
      </c>
      <c r="M39" s="362">
        <f>IF(OR(D39="",H39=""),"",(INDEX('G-6 Hedgerow Data'!$E$3:$I$15,MATCH(D39,'G-6 Hedgerow Data'!$B$3:$B$15,0),MATCH(H39,'G-6 Hedgerow Data'!$E$2:$I$2,0))))</f>
        <v>12</v>
      </c>
      <c r="N39" s="159"/>
      <c r="O39" s="159"/>
      <c r="P39" s="370" t="str">
        <f t="shared" si="1"/>
        <v>Standard time to target condition applied</v>
      </c>
      <c r="Q39" s="383">
        <f t="shared" si="2"/>
        <v>12</v>
      </c>
      <c r="R39" s="384">
        <f t="shared" si="0"/>
        <v>0.65212036070000001</v>
      </c>
      <c r="S39" s="398" t="str">
        <f>IF(D39="","",VLOOKUP(D39,'G-6 Hedgerow Data'!$B$3:$AG$15,31,FALSE))</f>
        <v>Low</v>
      </c>
      <c r="T39" s="370" t="str">
        <f t="shared" si="3"/>
        <v>Standard difficulty applied</v>
      </c>
      <c r="U39" s="370" t="str">
        <f t="shared" si="4"/>
        <v>Low</v>
      </c>
      <c r="V39" s="386">
        <f>IF(D39="","",VLOOKUP(S39,'G-3 Multipliers'!$P$3:$Q$6,2,FALSE))</f>
        <v>1</v>
      </c>
      <c r="W39" s="390">
        <f t="shared" si="5"/>
        <v>3.2543753758640004</v>
      </c>
      <c r="X39" s="117"/>
      <c r="Y39" s="118"/>
      <c r="Z39" s="120"/>
      <c r="AG39" s="30" t="str">
        <f>IFERROR(INDEX('G-6 Hedgerow Data'!$BJ$3:$BJ$15,MATCH(D39,'G-6 Hedgerow Data'!$B$3:$B$15,0)),"")</f>
        <v>Hedgecond1</v>
      </c>
    </row>
    <row r="40" spans="2:33" ht="28.5" x14ac:dyDescent="0.2">
      <c r="B40" s="110">
        <v>29</v>
      </c>
      <c r="C40" s="167">
        <v>30</v>
      </c>
      <c r="D40" s="159" t="s">
        <v>171</v>
      </c>
      <c r="E40" s="139">
        <v>0.20198852083268851</v>
      </c>
      <c r="F40" s="411" t="str">
        <f>IF(D40="","",VLOOKUP(D40,'G-6 Hedgerow Data'!$B$2:$AG$15,2,FALSE))</f>
        <v>Medium</v>
      </c>
      <c r="G40" s="363">
        <f>IF(D40="","",VLOOKUP(D40,'G-6 Hedgerow Data'!$B$2:$AG$15,3,FALSE))</f>
        <v>4</v>
      </c>
      <c r="H40" s="114" t="s">
        <v>68</v>
      </c>
      <c r="I40" s="363">
        <f>IFERROR(VLOOKUP(H40,'G-1 All Habitats'!$Z$2:$AA$9,2,FALSE),"")</f>
        <v>3</v>
      </c>
      <c r="J40" s="114" t="s">
        <v>1037</v>
      </c>
      <c r="K40" s="382" t="str">
        <f>IF(J40="","",IF(VLOOKUP(J40,'G-3 Multipliers'!$L$3:$N$6,2,FALSE)=0,"Spatial Data Missing ⚠",VLOOKUP(J40,'G-3 Multipliers'!$L$3:$N$6,2,FALSE)))</f>
        <v>Low Strategic Significance</v>
      </c>
      <c r="L40" s="368">
        <f>IF(J40="","",IF(VLOOKUP(J40,'G-3 Multipliers'!$L$3:$N$6,3,FALSE)=0,"Spatial Data Missing ⚠",VLOOKUP(J40,'G-3 Multipliers'!$L$3:$N$6,3,FALSE)))</f>
        <v>1</v>
      </c>
      <c r="M40" s="362">
        <f>IF(OR(D40="",H40=""),"",(INDEX('G-6 Hedgerow Data'!$E$3:$I$15,MATCH(D40,'G-6 Hedgerow Data'!$B$3:$B$15,0),MATCH(H40,'G-6 Hedgerow Data'!$E$2:$I$2,0))))</f>
        <v>12</v>
      </c>
      <c r="N40" s="159"/>
      <c r="O40" s="159"/>
      <c r="P40" s="370" t="str">
        <f t="shared" si="1"/>
        <v>Standard time to target condition applied</v>
      </c>
      <c r="Q40" s="383">
        <f t="shared" si="2"/>
        <v>12</v>
      </c>
      <c r="R40" s="384">
        <f t="shared" si="0"/>
        <v>0.65212036070000001</v>
      </c>
      <c r="S40" s="398" t="str">
        <f>IF(D40="","",VLOOKUP(D40,'G-6 Hedgerow Data'!$B$3:$AG$15,31,FALSE))</f>
        <v>Low</v>
      </c>
      <c r="T40" s="370" t="str">
        <f t="shared" si="3"/>
        <v>Standard difficulty applied</v>
      </c>
      <c r="U40" s="370" t="str">
        <f t="shared" si="4"/>
        <v>Low</v>
      </c>
      <c r="V40" s="386">
        <f>IF(D40="","",VLOOKUP(S40,'G-3 Multipliers'!$P$3:$Q$6,2,FALSE))</f>
        <v>1</v>
      </c>
      <c r="W40" s="390">
        <f t="shared" si="5"/>
        <v>1.5806499247520676</v>
      </c>
      <c r="X40" s="117"/>
      <c r="Y40" s="118"/>
      <c r="Z40" s="120"/>
      <c r="AG40" s="30" t="str">
        <f>IFERROR(INDEX('G-6 Hedgerow Data'!$BJ$3:$BJ$15,MATCH(D40,'G-6 Hedgerow Data'!$B$3:$B$15,0)),"")</f>
        <v>Hedgecond1</v>
      </c>
    </row>
    <row r="41" spans="2:33" ht="28.5" x14ac:dyDescent="0.2">
      <c r="B41" s="110">
        <v>30</v>
      </c>
      <c r="C41" s="167">
        <v>31</v>
      </c>
      <c r="D41" s="159" t="s">
        <v>171</v>
      </c>
      <c r="E41" s="139">
        <v>0.20552930997578781</v>
      </c>
      <c r="F41" s="411" t="str">
        <f>IF(D41="","",VLOOKUP(D41,'G-6 Hedgerow Data'!$B$2:$AG$15,2,FALSE))</f>
        <v>Medium</v>
      </c>
      <c r="G41" s="363">
        <f>IF(D41="","",VLOOKUP(D41,'G-6 Hedgerow Data'!$B$2:$AG$15,3,FALSE))</f>
        <v>4</v>
      </c>
      <c r="H41" s="114" t="s">
        <v>68</v>
      </c>
      <c r="I41" s="363">
        <f>IFERROR(VLOOKUP(H41,'G-1 All Habitats'!$Z$2:$AA$9,2,FALSE),"")</f>
        <v>3</v>
      </c>
      <c r="J41" s="114" t="s">
        <v>1037</v>
      </c>
      <c r="K41" s="382" t="str">
        <f>IF(J41="","",IF(VLOOKUP(J41,'G-3 Multipliers'!$L$3:$N$6,2,FALSE)=0,"Spatial Data Missing ⚠",VLOOKUP(J41,'G-3 Multipliers'!$L$3:$N$6,2,FALSE)))</f>
        <v>Low Strategic Significance</v>
      </c>
      <c r="L41" s="368">
        <f>IF(J41="","",IF(VLOOKUP(J41,'G-3 Multipliers'!$L$3:$N$6,3,FALSE)=0,"Spatial Data Missing ⚠",VLOOKUP(J41,'G-3 Multipliers'!$L$3:$N$6,3,FALSE)))</f>
        <v>1</v>
      </c>
      <c r="M41" s="362">
        <f>IF(OR(D41="",H41=""),"",(INDEX('G-6 Hedgerow Data'!$E$3:$I$15,MATCH(D41,'G-6 Hedgerow Data'!$B$3:$B$15,0),MATCH(H41,'G-6 Hedgerow Data'!$E$2:$I$2,0))))</f>
        <v>12</v>
      </c>
      <c r="N41" s="159"/>
      <c r="O41" s="159"/>
      <c r="P41" s="370" t="str">
        <f t="shared" si="1"/>
        <v>Standard time to target condition applied</v>
      </c>
      <c r="Q41" s="383">
        <f t="shared" si="2"/>
        <v>12</v>
      </c>
      <c r="R41" s="384">
        <f t="shared" si="0"/>
        <v>0.65212036070000001</v>
      </c>
      <c r="S41" s="398" t="str">
        <f>IF(D41="","",VLOOKUP(D41,'G-6 Hedgerow Data'!$B$3:$AG$15,31,FALSE))</f>
        <v>Low</v>
      </c>
      <c r="T41" s="370" t="str">
        <f t="shared" si="3"/>
        <v>Standard difficulty applied</v>
      </c>
      <c r="U41" s="370" t="str">
        <f t="shared" si="4"/>
        <v>Low</v>
      </c>
      <c r="V41" s="386">
        <f>IF(D41="","",VLOOKUP(S41,'G-3 Multipliers'!$P$3:$Q$6,2,FALSE))</f>
        <v>1</v>
      </c>
      <c r="W41" s="390">
        <f t="shared" si="5"/>
        <v>1.6083581730699943</v>
      </c>
      <c r="X41" s="117"/>
      <c r="Y41" s="118"/>
      <c r="Z41" s="120"/>
      <c r="AG41" s="30" t="str">
        <f>IFERROR(INDEX('G-6 Hedgerow Data'!$BJ$3:$BJ$15,MATCH(D41,'G-6 Hedgerow Data'!$B$3:$B$15,0)),"")</f>
        <v>Hedgecond1</v>
      </c>
    </row>
    <row r="42" spans="2:33" ht="28.5" x14ac:dyDescent="0.2">
      <c r="B42" s="110">
        <v>31</v>
      </c>
      <c r="C42" s="167">
        <v>32</v>
      </c>
      <c r="D42" s="159" t="s">
        <v>171</v>
      </c>
      <c r="E42" s="139">
        <v>0.32200690356154227</v>
      </c>
      <c r="F42" s="411" t="str">
        <f>IF(D42="","",VLOOKUP(D42,'G-6 Hedgerow Data'!$B$2:$AG$15,2,FALSE))</f>
        <v>Medium</v>
      </c>
      <c r="G42" s="363">
        <f>IF(D42="","",VLOOKUP(D42,'G-6 Hedgerow Data'!$B$2:$AG$15,3,FALSE))</f>
        <v>4</v>
      </c>
      <c r="H42" s="114" t="s">
        <v>68</v>
      </c>
      <c r="I42" s="363">
        <f>IFERROR(VLOOKUP(H42,'G-1 All Habitats'!$Z$2:$AA$9,2,FALSE),"")</f>
        <v>3</v>
      </c>
      <c r="J42" s="114" t="s">
        <v>1037</v>
      </c>
      <c r="K42" s="382" t="str">
        <f>IF(J42="","",IF(VLOOKUP(J42,'G-3 Multipliers'!$L$3:$N$6,2,FALSE)=0,"Spatial Data Missing ⚠",VLOOKUP(J42,'G-3 Multipliers'!$L$3:$N$6,2,FALSE)))</f>
        <v>Low Strategic Significance</v>
      </c>
      <c r="L42" s="368">
        <f>IF(J42="","",IF(VLOOKUP(J42,'G-3 Multipliers'!$L$3:$N$6,3,FALSE)=0,"Spatial Data Missing ⚠",VLOOKUP(J42,'G-3 Multipliers'!$L$3:$N$6,3,FALSE)))</f>
        <v>1</v>
      </c>
      <c r="M42" s="362">
        <f>IF(OR(D42="",H42=""),"",(INDEX('G-6 Hedgerow Data'!$E$3:$I$15,MATCH(D42,'G-6 Hedgerow Data'!$B$3:$B$15,0),MATCH(H42,'G-6 Hedgerow Data'!$E$2:$I$2,0))))</f>
        <v>12</v>
      </c>
      <c r="N42" s="159"/>
      <c r="O42" s="159"/>
      <c r="P42" s="370" t="str">
        <f t="shared" si="1"/>
        <v>Standard time to target condition applied</v>
      </c>
      <c r="Q42" s="383">
        <f t="shared" si="2"/>
        <v>12</v>
      </c>
      <c r="R42" s="384">
        <f t="shared" si="0"/>
        <v>0.65212036070000001</v>
      </c>
      <c r="S42" s="398" t="str">
        <f>IF(D42="","",VLOOKUP(D42,'G-6 Hedgerow Data'!$B$3:$AG$15,31,FALSE))</f>
        <v>Low</v>
      </c>
      <c r="T42" s="370" t="str">
        <f t="shared" si="3"/>
        <v>Standard difficulty applied</v>
      </c>
      <c r="U42" s="370" t="str">
        <f t="shared" si="4"/>
        <v>Low</v>
      </c>
      <c r="V42" s="386">
        <f>IF(D42="","",VLOOKUP(S42,'G-3 Multipliers'!$P$3:$Q$6,2,FALSE))</f>
        <v>1</v>
      </c>
      <c r="W42" s="390">
        <f t="shared" si="5"/>
        <v>2.5198470971813167</v>
      </c>
      <c r="X42" s="117"/>
      <c r="Y42" s="118"/>
      <c r="Z42" s="120"/>
      <c r="AG42" s="30" t="str">
        <f>IFERROR(INDEX('G-6 Hedgerow Data'!$BJ$3:$BJ$15,MATCH(D42,'G-6 Hedgerow Data'!$B$3:$B$15,0)),"")</f>
        <v>Hedgecond1</v>
      </c>
    </row>
    <row r="43" spans="2:33" ht="28.5" x14ac:dyDescent="0.2">
      <c r="B43" s="110">
        <v>32</v>
      </c>
      <c r="C43" s="167">
        <v>33</v>
      </c>
      <c r="D43" s="159" t="s">
        <v>171</v>
      </c>
      <c r="E43" s="139">
        <v>0.49554493080479162</v>
      </c>
      <c r="F43" s="411" t="str">
        <f>IF(D43="","",VLOOKUP(D43,'G-6 Hedgerow Data'!$B$2:$AG$15,2,FALSE))</f>
        <v>Medium</v>
      </c>
      <c r="G43" s="363">
        <f>IF(D43="","",VLOOKUP(D43,'G-6 Hedgerow Data'!$B$2:$AG$15,3,FALSE))</f>
        <v>4</v>
      </c>
      <c r="H43" s="114" t="s">
        <v>68</v>
      </c>
      <c r="I43" s="363">
        <f>IFERROR(VLOOKUP(H43,'G-1 All Habitats'!$Z$2:$AA$9,2,FALSE),"")</f>
        <v>3</v>
      </c>
      <c r="J43" s="114" t="s">
        <v>1037</v>
      </c>
      <c r="K43" s="382" t="str">
        <f>IF(J43="","",IF(VLOOKUP(J43,'G-3 Multipliers'!$L$3:$N$6,2,FALSE)=0,"Spatial Data Missing ⚠",VLOOKUP(J43,'G-3 Multipliers'!$L$3:$N$6,2,FALSE)))</f>
        <v>Low Strategic Significance</v>
      </c>
      <c r="L43" s="368">
        <f>IF(J43="","",IF(VLOOKUP(J43,'G-3 Multipliers'!$L$3:$N$6,3,FALSE)=0,"Spatial Data Missing ⚠",VLOOKUP(J43,'G-3 Multipliers'!$L$3:$N$6,3,FALSE)))</f>
        <v>1</v>
      </c>
      <c r="M43" s="362">
        <f>IF(OR(D43="",H43=""),"",(INDEX('G-6 Hedgerow Data'!$E$3:$I$15,MATCH(D43,'G-6 Hedgerow Data'!$B$3:$B$15,0),MATCH(H43,'G-6 Hedgerow Data'!$E$2:$I$2,0))))</f>
        <v>12</v>
      </c>
      <c r="N43" s="159"/>
      <c r="O43" s="159"/>
      <c r="P43" s="370" t="str">
        <f t="shared" si="1"/>
        <v>Standard time to target condition applied</v>
      </c>
      <c r="Q43" s="383">
        <f t="shared" si="2"/>
        <v>12</v>
      </c>
      <c r="R43" s="384">
        <f t="shared" si="0"/>
        <v>0.65212036070000001</v>
      </c>
      <c r="S43" s="398" t="str">
        <f>IF(D43="","",VLOOKUP(D43,'G-6 Hedgerow Data'!$B$3:$AG$15,31,FALSE))</f>
        <v>Low</v>
      </c>
      <c r="T43" s="370" t="str">
        <f t="shared" si="3"/>
        <v>Standard difficulty applied</v>
      </c>
      <c r="U43" s="370" t="str">
        <f t="shared" si="4"/>
        <v>Low</v>
      </c>
      <c r="V43" s="386">
        <f>IF(D43="","",VLOOKUP(S43,'G-3 Multipliers'!$P$3:$Q$6,2,FALSE))</f>
        <v>1</v>
      </c>
      <c r="W43" s="390">
        <f t="shared" si="5"/>
        <v>3.8778592682337267</v>
      </c>
      <c r="X43" s="117"/>
      <c r="Y43" s="118"/>
      <c r="Z43" s="120"/>
      <c r="AG43" s="30" t="str">
        <f>IFERROR(INDEX('G-6 Hedgerow Data'!$BJ$3:$BJ$15,MATCH(D43,'G-6 Hedgerow Data'!$B$3:$B$15,0)),"")</f>
        <v>Hedgecond1</v>
      </c>
    </row>
    <row r="44" spans="2:33" ht="28.5" x14ac:dyDescent="0.2">
      <c r="B44" s="110">
        <v>33</v>
      </c>
      <c r="C44" s="167">
        <v>34</v>
      </c>
      <c r="D44" s="159" t="s">
        <v>171</v>
      </c>
      <c r="E44" s="139">
        <v>0.4179669865334687</v>
      </c>
      <c r="F44" s="411" t="str">
        <f>IF(D44="","",VLOOKUP(D44,'G-6 Hedgerow Data'!$B$2:$AG$15,2,FALSE))</f>
        <v>Medium</v>
      </c>
      <c r="G44" s="363">
        <f>IF(D44="","",VLOOKUP(D44,'G-6 Hedgerow Data'!$B$2:$AG$15,3,FALSE))</f>
        <v>4</v>
      </c>
      <c r="H44" s="114" t="s">
        <v>68</v>
      </c>
      <c r="I44" s="363">
        <f>IFERROR(VLOOKUP(H44,'G-1 All Habitats'!$Z$2:$AA$9,2,FALSE),"")</f>
        <v>3</v>
      </c>
      <c r="J44" s="114" t="s">
        <v>1037</v>
      </c>
      <c r="K44" s="382" t="str">
        <f>IF(J44="","",IF(VLOOKUP(J44,'G-3 Multipliers'!$L$3:$N$6,2,FALSE)=0,"Spatial Data Missing ⚠",VLOOKUP(J44,'G-3 Multipliers'!$L$3:$N$6,2,FALSE)))</f>
        <v>Low Strategic Significance</v>
      </c>
      <c r="L44" s="368">
        <f>IF(J44="","",IF(VLOOKUP(J44,'G-3 Multipliers'!$L$3:$N$6,3,FALSE)=0,"Spatial Data Missing ⚠",VLOOKUP(J44,'G-3 Multipliers'!$L$3:$N$6,3,FALSE)))</f>
        <v>1</v>
      </c>
      <c r="M44" s="362">
        <f>IF(OR(D44="",H44=""),"",(INDEX('G-6 Hedgerow Data'!$E$3:$I$15,MATCH(D44,'G-6 Hedgerow Data'!$B$3:$B$15,0),MATCH(H44,'G-6 Hedgerow Data'!$E$2:$I$2,0))))</f>
        <v>12</v>
      </c>
      <c r="N44" s="159"/>
      <c r="O44" s="159"/>
      <c r="P44" s="370" t="str">
        <f t="shared" si="1"/>
        <v>Standard time to target condition applied</v>
      </c>
      <c r="Q44" s="383">
        <f t="shared" si="2"/>
        <v>12</v>
      </c>
      <c r="R44" s="384">
        <f t="shared" si="0"/>
        <v>0.65212036070000001</v>
      </c>
      <c r="S44" s="398" t="str">
        <f>IF(D44="","",VLOOKUP(D44,'G-6 Hedgerow Data'!$B$3:$AG$15,31,FALSE))</f>
        <v>Low</v>
      </c>
      <c r="T44" s="370" t="str">
        <f t="shared" si="3"/>
        <v>Standard difficulty applied</v>
      </c>
      <c r="U44" s="370" t="str">
        <f t="shared" si="4"/>
        <v>Low</v>
      </c>
      <c r="V44" s="386">
        <f>IF(D44="","",VLOOKUP(S44,'G-3 Multipliers'!$P$3:$Q$6,2,FALSE))</f>
        <v>1</v>
      </c>
      <c r="W44" s="390">
        <f t="shared" si="5"/>
        <v>3.2707773842267716</v>
      </c>
      <c r="X44" s="117"/>
      <c r="Y44" s="118"/>
      <c r="Z44" s="120"/>
      <c r="AG44" s="30" t="str">
        <f>IFERROR(INDEX('G-6 Hedgerow Data'!$BJ$3:$BJ$15,MATCH(D44,'G-6 Hedgerow Data'!$B$3:$B$15,0)),"")</f>
        <v>Hedgecond1</v>
      </c>
    </row>
    <row r="45" spans="2:33" ht="28.5" x14ac:dyDescent="0.2">
      <c r="B45" s="110">
        <v>34</v>
      </c>
      <c r="C45" s="167">
        <v>35</v>
      </c>
      <c r="D45" s="159" t="s">
        <v>171</v>
      </c>
      <c r="E45" s="139">
        <v>0.56915553643161376</v>
      </c>
      <c r="F45" s="411" t="str">
        <f>IF(D45="","",VLOOKUP(D45,'G-6 Hedgerow Data'!$B$2:$AG$15,2,FALSE))</f>
        <v>Medium</v>
      </c>
      <c r="G45" s="363">
        <f>IF(D45="","",VLOOKUP(D45,'G-6 Hedgerow Data'!$B$2:$AG$15,3,FALSE))</f>
        <v>4</v>
      </c>
      <c r="H45" s="114" t="s">
        <v>68</v>
      </c>
      <c r="I45" s="363">
        <f>IFERROR(VLOOKUP(H45,'G-1 All Habitats'!$Z$2:$AA$9,2,FALSE),"")</f>
        <v>3</v>
      </c>
      <c r="J45" s="114" t="s">
        <v>1037</v>
      </c>
      <c r="K45" s="382" t="str">
        <f>IF(J45="","",IF(VLOOKUP(J45,'G-3 Multipliers'!$L$3:$N$6,2,FALSE)=0,"Spatial Data Missing ⚠",VLOOKUP(J45,'G-3 Multipliers'!$L$3:$N$6,2,FALSE)))</f>
        <v>Low Strategic Significance</v>
      </c>
      <c r="L45" s="368">
        <f>IF(J45="","",IF(VLOOKUP(J45,'G-3 Multipliers'!$L$3:$N$6,3,FALSE)=0,"Spatial Data Missing ⚠",VLOOKUP(J45,'G-3 Multipliers'!$L$3:$N$6,3,FALSE)))</f>
        <v>1</v>
      </c>
      <c r="M45" s="362">
        <f>IF(OR(D45="",H45=""),"",(INDEX('G-6 Hedgerow Data'!$E$3:$I$15,MATCH(D45,'G-6 Hedgerow Data'!$B$3:$B$15,0),MATCH(H45,'G-6 Hedgerow Data'!$E$2:$I$2,0))))</f>
        <v>12</v>
      </c>
      <c r="N45" s="159"/>
      <c r="O45" s="159"/>
      <c r="P45" s="370" t="str">
        <f t="shared" si="1"/>
        <v>Standard time to target condition applied</v>
      </c>
      <c r="Q45" s="383">
        <f t="shared" si="2"/>
        <v>12</v>
      </c>
      <c r="R45" s="384">
        <f t="shared" si="0"/>
        <v>0.65212036070000001</v>
      </c>
      <c r="S45" s="398" t="str">
        <f>IF(D45="","",VLOOKUP(D45,'G-6 Hedgerow Data'!$B$3:$AG$15,31,FALSE))</f>
        <v>Low</v>
      </c>
      <c r="T45" s="370" t="str">
        <f t="shared" si="3"/>
        <v>Standard difficulty applied</v>
      </c>
      <c r="U45" s="370" t="str">
        <f t="shared" si="4"/>
        <v>Low</v>
      </c>
      <c r="V45" s="386">
        <f>IF(D45="","",VLOOKUP(S45,'G-3 Multipliers'!$P$3:$Q$6,2,FALSE))</f>
        <v>1</v>
      </c>
      <c r="W45" s="390">
        <f t="shared" si="5"/>
        <v>4.4538949645462322</v>
      </c>
      <c r="X45" s="117"/>
      <c r="Y45" s="118"/>
      <c r="Z45" s="120"/>
      <c r="AG45" s="30" t="str">
        <f>IFERROR(INDEX('G-6 Hedgerow Data'!$BJ$3:$BJ$15,MATCH(D45,'G-6 Hedgerow Data'!$B$3:$B$15,0)),"")</f>
        <v>Hedgecond1</v>
      </c>
    </row>
    <row r="46" spans="2:33" ht="28.5" x14ac:dyDescent="0.2">
      <c r="B46" s="110">
        <v>35</v>
      </c>
      <c r="C46" s="167">
        <v>36</v>
      </c>
      <c r="D46" s="159" t="s">
        <v>171</v>
      </c>
      <c r="E46" s="139">
        <v>0.36275168657461015</v>
      </c>
      <c r="F46" s="411" t="str">
        <f>IF(D46="","",VLOOKUP(D46,'G-6 Hedgerow Data'!$B$2:$AG$15,2,FALSE))</f>
        <v>Medium</v>
      </c>
      <c r="G46" s="363">
        <f>IF(D46="","",VLOOKUP(D46,'G-6 Hedgerow Data'!$B$2:$AG$15,3,FALSE))</f>
        <v>4</v>
      </c>
      <c r="H46" s="114" t="s">
        <v>68</v>
      </c>
      <c r="I46" s="363">
        <f>IFERROR(VLOOKUP(H46,'G-1 All Habitats'!$Z$2:$AA$9,2,FALSE),"")</f>
        <v>3</v>
      </c>
      <c r="J46" s="114" t="s">
        <v>1037</v>
      </c>
      <c r="K46" s="382" t="str">
        <f>IF(J46="","",IF(VLOOKUP(J46,'G-3 Multipliers'!$L$3:$N$6,2,FALSE)=0,"Spatial Data Missing ⚠",VLOOKUP(J46,'G-3 Multipliers'!$L$3:$N$6,2,FALSE)))</f>
        <v>Low Strategic Significance</v>
      </c>
      <c r="L46" s="368">
        <f>IF(J46="","",IF(VLOOKUP(J46,'G-3 Multipliers'!$L$3:$N$6,3,FALSE)=0,"Spatial Data Missing ⚠",VLOOKUP(J46,'G-3 Multipliers'!$L$3:$N$6,3,FALSE)))</f>
        <v>1</v>
      </c>
      <c r="M46" s="362">
        <f>IF(OR(D46="",H46=""),"",(INDEX('G-6 Hedgerow Data'!$E$3:$I$15,MATCH(D46,'G-6 Hedgerow Data'!$B$3:$B$15,0),MATCH(H46,'G-6 Hedgerow Data'!$E$2:$I$2,0))))</f>
        <v>12</v>
      </c>
      <c r="N46" s="159"/>
      <c r="O46" s="159"/>
      <c r="P46" s="370" t="str">
        <f t="shared" si="1"/>
        <v>Standard time to target condition applied</v>
      </c>
      <c r="Q46" s="383">
        <f t="shared" si="2"/>
        <v>12</v>
      </c>
      <c r="R46" s="384">
        <f t="shared" si="0"/>
        <v>0.65212036070000001</v>
      </c>
      <c r="S46" s="398" t="str">
        <f>IF(D46="","",VLOOKUP(D46,'G-6 Hedgerow Data'!$B$3:$AG$15,31,FALSE))</f>
        <v>Low</v>
      </c>
      <c r="T46" s="370" t="str">
        <f t="shared" si="3"/>
        <v>Standard difficulty applied</v>
      </c>
      <c r="U46" s="370" t="str">
        <f t="shared" si="4"/>
        <v>Low</v>
      </c>
      <c r="V46" s="386">
        <f>IF(D46="","",VLOOKUP(S46,'G-3 Multipliers'!$P$3:$Q$6,2,FALSE))</f>
        <v>1</v>
      </c>
      <c r="W46" s="390">
        <f t="shared" si="5"/>
        <v>2.8386931283228178</v>
      </c>
      <c r="X46" s="117"/>
      <c r="Y46" s="118"/>
      <c r="Z46" s="120"/>
      <c r="AG46" s="30" t="str">
        <f>IFERROR(INDEX('G-6 Hedgerow Data'!$BJ$3:$BJ$15,MATCH(D46,'G-6 Hedgerow Data'!$B$3:$B$15,0)),"")</f>
        <v>Hedgecond1</v>
      </c>
    </row>
    <row r="47" spans="2:33" ht="28.5" x14ac:dyDescent="0.2">
      <c r="B47" s="110">
        <v>36</v>
      </c>
      <c r="C47" s="167">
        <v>37</v>
      </c>
      <c r="D47" s="159" t="s">
        <v>171</v>
      </c>
      <c r="E47" s="139">
        <v>0.26088372669334881</v>
      </c>
      <c r="F47" s="411" t="str">
        <f>IF(D47="","",VLOOKUP(D47,'G-6 Hedgerow Data'!$B$2:$AG$15,2,FALSE))</f>
        <v>Medium</v>
      </c>
      <c r="G47" s="363">
        <f>IF(D47="","",VLOOKUP(D47,'G-6 Hedgerow Data'!$B$2:$AG$15,3,FALSE))</f>
        <v>4</v>
      </c>
      <c r="H47" s="114" t="s">
        <v>68</v>
      </c>
      <c r="I47" s="363">
        <f>IFERROR(VLOOKUP(H47,'G-1 All Habitats'!$Z$2:$AA$9,2,FALSE),"")</f>
        <v>3</v>
      </c>
      <c r="J47" s="114" t="s">
        <v>1037</v>
      </c>
      <c r="K47" s="382" t="str">
        <f>IF(J47="","",IF(VLOOKUP(J47,'G-3 Multipliers'!$L$3:$N$6,2,FALSE)=0,"Spatial Data Missing ⚠",VLOOKUP(J47,'G-3 Multipliers'!$L$3:$N$6,2,FALSE)))</f>
        <v>Low Strategic Significance</v>
      </c>
      <c r="L47" s="368">
        <f>IF(J47="","",IF(VLOOKUP(J47,'G-3 Multipliers'!$L$3:$N$6,3,FALSE)=0,"Spatial Data Missing ⚠",VLOOKUP(J47,'G-3 Multipliers'!$L$3:$N$6,3,FALSE)))</f>
        <v>1</v>
      </c>
      <c r="M47" s="362">
        <f>IF(OR(D47="",H47=""),"",(INDEX('G-6 Hedgerow Data'!$E$3:$I$15,MATCH(D47,'G-6 Hedgerow Data'!$B$3:$B$15,0),MATCH(H47,'G-6 Hedgerow Data'!$E$2:$I$2,0))))</f>
        <v>12</v>
      </c>
      <c r="N47" s="159"/>
      <c r="O47" s="159"/>
      <c r="P47" s="370" t="str">
        <f t="shared" si="1"/>
        <v>Standard time to target condition applied</v>
      </c>
      <c r="Q47" s="383">
        <f t="shared" si="2"/>
        <v>12</v>
      </c>
      <c r="R47" s="384">
        <f t="shared" si="0"/>
        <v>0.65212036070000001</v>
      </c>
      <c r="S47" s="398" t="str">
        <f>IF(D47="","",VLOOKUP(D47,'G-6 Hedgerow Data'!$B$3:$AG$15,31,FALSE))</f>
        <v>Low</v>
      </c>
      <c r="T47" s="370" t="str">
        <f t="shared" si="3"/>
        <v>Standard difficulty applied</v>
      </c>
      <c r="U47" s="370" t="str">
        <f t="shared" si="4"/>
        <v>Low</v>
      </c>
      <c r="V47" s="386">
        <f>IF(D47="","",VLOOKUP(S47,'G-3 Multipliers'!$P$3:$Q$6,2,FALSE))</f>
        <v>1</v>
      </c>
      <c r="W47" s="390">
        <f t="shared" si="5"/>
        <v>2.0415310794243222</v>
      </c>
      <c r="X47" s="117"/>
      <c r="Y47" s="118"/>
      <c r="Z47" s="120"/>
      <c r="AG47" s="30" t="str">
        <f>IFERROR(INDEX('G-6 Hedgerow Data'!$BJ$3:$BJ$15,MATCH(D47,'G-6 Hedgerow Data'!$B$3:$B$15,0)),"")</f>
        <v>Hedgecond1</v>
      </c>
    </row>
    <row r="48" spans="2:33" ht="28.5" x14ac:dyDescent="0.2">
      <c r="B48" s="110">
        <v>37</v>
      </c>
      <c r="C48" s="167">
        <v>38</v>
      </c>
      <c r="D48" s="159" t="s">
        <v>171</v>
      </c>
      <c r="E48" s="139">
        <v>0.20192086151604829</v>
      </c>
      <c r="F48" s="411" t="str">
        <f>IF(D48="","",VLOOKUP(D48,'G-6 Hedgerow Data'!$B$2:$AG$15,2,FALSE))</f>
        <v>Medium</v>
      </c>
      <c r="G48" s="363">
        <f>IF(D48="","",VLOOKUP(D48,'G-6 Hedgerow Data'!$B$2:$AG$15,3,FALSE))</f>
        <v>4</v>
      </c>
      <c r="H48" s="114" t="s">
        <v>68</v>
      </c>
      <c r="I48" s="363">
        <f>IFERROR(VLOOKUP(H48,'G-1 All Habitats'!$Z$2:$AA$9,2,FALSE),"")</f>
        <v>3</v>
      </c>
      <c r="J48" s="114" t="s">
        <v>1037</v>
      </c>
      <c r="K48" s="382" t="str">
        <f>IF(J48="","",IF(VLOOKUP(J48,'G-3 Multipliers'!$L$3:$N$6,2,FALSE)=0,"Spatial Data Missing ⚠",VLOOKUP(J48,'G-3 Multipliers'!$L$3:$N$6,2,FALSE)))</f>
        <v>Low Strategic Significance</v>
      </c>
      <c r="L48" s="368">
        <f>IF(J48="","",IF(VLOOKUP(J48,'G-3 Multipliers'!$L$3:$N$6,3,FALSE)=0,"Spatial Data Missing ⚠",VLOOKUP(J48,'G-3 Multipliers'!$L$3:$N$6,3,FALSE)))</f>
        <v>1</v>
      </c>
      <c r="M48" s="362">
        <f>IF(OR(D48="",H48=""),"",(INDEX('G-6 Hedgerow Data'!$E$3:$I$15,MATCH(D48,'G-6 Hedgerow Data'!$B$3:$B$15,0),MATCH(H48,'G-6 Hedgerow Data'!$E$2:$I$2,0))))</f>
        <v>12</v>
      </c>
      <c r="N48" s="159"/>
      <c r="O48" s="159"/>
      <c r="P48" s="370" t="str">
        <f t="shared" si="1"/>
        <v>Standard time to target condition applied</v>
      </c>
      <c r="Q48" s="383">
        <f t="shared" si="2"/>
        <v>12</v>
      </c>
      <c r="R48" s="384">
        <f t="shared" si="0"/>
        <v>0.65212036070000001</v>
      </c>
      <c r="S48" s="398" t="str">
        <f>IF(D48="","",VLOOKUP(D48,'G-6 Hedgerow Data'!$B$3:$AG$15,31,FALSE))</f>
        <v>Low</v>
      </c>
      <c r="T48" s="370" t="str">
        <f t="shared" si="3"/>
        <v>Standard difficulty applied</v>
      </c>
      <c r="U48" s="370" t="str">
        <f t="shared" si="4"/>
        <v>Low</v>
      </c>
      <c r="V48" s="386">
        <f>IF(D48="","",VLOOKUP(S48,'G-3 Multipliers'!$P$3:$Q$6,2,FALSE))</f>
        <v>1</v>
      </c>
      <c r="W48" s="390">
        <f t="shared" si="5"/>
        <v>1.5801204605364021</v>
      </c>
      <c r="X48" s="117"/>
      <c r="Y48" s="118"/>
      <c r="Z48" s="120"/>
      <c r="AG48" s="30" t="str">
        <f>IFERROR(INDEX('G-6 Hedgerow Data'!$BJ$3:$BJ$15,MATCH(D48,'G-6 Hedgerow Data'!$B$3:$B$15,0)),"")</f>
        <v>Hedgecond1</v>
      </c>
    </row>
    <row r="49" spans="2:33" ht="28.5" x14ac:dyDescent="0.2">
      <c r="B49" s="110">
        <v>38</v>
      </c>
      <c r="C49" s="167">
        <v>39</v>
      </c>
      <c r="D49" s="159" t="s">
        <v>171</v>
      </c>
      <c r="E49" s="139">
        <v>0.40053109208808885</v>
      </c>
      <c r="F49" s="411" t="str">
        <f>IF(D49="","",VLOOKUP(D49,'G-6 Hedgerow Data'!$B$2:$AG$15,2,FALSE))</f>
        <v>Medium</v>
      </c>
      <c r="G49" s="363">
        <f>IF(D49="","",VLOOKUP(D49,'G-6 Hedgerow Data'!$B$2:$AG$15,3,FALSE))</f>
        <v>4</v>
      </c>
      <c r="H49" s="114" t="s">
        <v>68</v>
      </c>
      <c r="I49" s="363">
        <f>IFERROR(VLOOKUP(H49,'G-1 All Habitats'!$Z$2:$AA$9,2,FALSE),"")</f>
        <v>3</v>
      </c>
      <c r="J49" s="114" t="s">
        <v>1037</v>
      </c>
      <c r="K49" s="382" t="str">
        <f>IF(J49="","",IF(VLOOKUP(J49,'G-3 Multipliers'!$L$3:$N$6,2,FALSE)=0,"Spatial Data Missing ⚠",VLOOKUP(J49,'G-3 Multipliers'!$L$3:$N$6,2,FALSE)))</f>
        <v>Low Strategic Significance</v>
      </c>
      <c r="L49" s="368">
        <f>IF(J49="","",IF(VLOOKUP(J49,'G-3 Multipliers'!$L$3:$N$6,3,FALSE)=0,"Spatial Data Missing ⚠",VLOOKUP(J49,'G-3 Multipliers'!$L$3:$N$6,3,FALSE)))</f>
        <v>1</v>
      </c>
      <c r="M49" s="362">
        <f>IF(OR(D49="",H49=""),"",(INDEX('G-6 Hedgerow Data'!$E$3:$I$15,MATCH(D49,'G-6 Hedgerow Data'!$B$3:$B$15,0),MATCH(H49,'G-6 Hedgerow Data'!$E$2:$I$2,0))))</f>
        <v>12</v>
      </c>
      <c r="N49" s="159"/>
      <c r="O49" s="159"/>
      <c r="P49" s="370" t="str">
        <f t="shared" si="1"/>
        <v>Standard time to target condition applied</v>
      </c>
      <c r="Q49" s="383">
        <f t="shared" si="2"/>
        <v>12</v>
      </c>
      <c r="R49" s="384">
        <f t="shared" si="0"/>
        <v>0.65212036070000001</v>
      </c>
      <c r="S49" s="398" t="str">
        <f>IF(D49="","",VLOOKUP(D49,'G-6 Hedgerow Data'!$B$3:$AG$15,31,FALSE))</f>
        <v>Low</v>
      </c>
      <c r="T49" s="370" t="str">
        <f t="shared" si="3"/>
        <v>Standard difficulty applied</v>
      </c>
      <c r="U49" s="370" t="str">
        <f t="shared" si="4"/>
        <v>Low</v>
      </c>
      <c r="V49" s="386">
        <f>IF(D49="","",VLOOKUP(S49,'G-3 Multipliers'!$P$3:$Q$6,2,FALSE))</f>
        <v>1</v>
      </c>
      <c r="W49" s="390">
        <f t="shared" si="5"/>
        <v>3.134333762928593</v>
      </c>
      <c r="X49" s="117"/>
      <c r="Y49" s="118"/>
      <c r="Z49" s="120"/>
      <c r="AG49" s="30" t="str">
        <f>IFERROR(INDEX('G-6 Hedgerow Data'!$BJ$3:$BJ$15,MATCH(D49,'G-6 Hedgerow Data'!$B$3:$B$15,0)),"")</f>
        <v>Hedgecond1</v>
      </c>
    </row>
    <row r="50" spans="2:33" ht="28.5" x14ac:dyDescent="0.2">
      <c r="B50" s="110">
        <v>39</v>
      </c>
      <c r="C50" s="167">
        <v>40</v>
      </c>
      <c r="D50" s="159" t="s">
        <v>171</v>
      </c>
      <c r="E50" s="139">
        <v>8.189530031481343E-2</v>
      </c>
      <c r="F50" s="411" t="str">
        <f>IF(D50="","",VLOOKUP(D50,'G-6 Hedgerow Data'!$B$2:$AG$15,2,FALSE))</f>
        <v>Medium</v>
      </c>
      <c r="G50" s="363">
        <f>IF(D50="","",VLOOKUP(D50,'G-6 Hedgerow Data'!$B$2:$AG$15,3,FALSE))</f>
        <v>4</v>
      </c>
      <c r="H50" s="114" t="s">
        <v>68</v>
      </c>
      <c r="I50" s="363">
        <f>IFERROR(VLOOKUP(H50,'G-1 All Habitats'!$Z$2:$AA$9,2,FALSE),"")</f>
        <v>3</v>
      </c>
      <c r="J50" s="114" t="s">
        <v>1037</v>
      </c>
      <c r="K50" s="382" t="str">
        <f>IF(J50="","",IF(VLOOKUP(J50,'G-3 Multipliers'!$L$3:$N$6,2,FALSE)=0,"Spatial Data Missing ⚠",VLOOKUP(J50,'G-3 Multipliers'!$L$3:$N$6,2,FALSE)))</f>
        <v>Low Strategic Significance</v>
      </c>
      <c r="L50" s="368">
        <f>IF(J50="","",IF(VLOOKUP(J50,'G-3 Multipliers'!$L$3:$N$6,3,FALSE)=0,"Spatial Data Missing ⚠",VLOOKUP(J50,'G-3 Multipliers'!$L$3:$N$6,3,FALSE)))</f>
        <v>1</v>
      </c>
      <c r="M50" s="362">
        <f>IF(OR(D50="",H50=""),"",(INDEX('G-6 Hedgerow Data'!$E$3:$I$15,MATCH(D50,'G-6 Hedgerow Data'!$B$3:$B$15,0),MATCH(H50,'G-6 Hedgerow Data'!$E$2:$I$2,0))))</f>
        <v>12</v>
      </c>
      <c r="N50" s="159"/>
      <c r="O50" s="159"/>
      <c r="P50" s="370" t="str">
        <f t="shared" si="1"/>
        <v>Standard time to target condition applied</v>
      </c>
      <c r="Q50" s="383">
        <f t="shared" si="2"/>
        <v>12</v>
      </c>
      <c r="R50" s="384">
        <f t="shared" si="0"/>
        <v>0.65212036070000001</v>
      </c>
      <c r="S50" s="398" t="str">
        <f>IF(D50="","",VLOOKUP(D50,'G-6 Hedgerow Data'!$B$3:$AG$15,31,FALSE))</f>
        <v>Low</v>
      </c>
      <c r="T50" s="370" t="str">
        <f t="shared" si="3"/>
        <v>Standard difficulty applied</v>
      </c>
      <c r="U50" s="370" t="str">
        <f t="shared" si="4"/>
        <v>Low</v>
      </c>
      <c r="V50" s="386">
        <f>IF(D50="","",VLOOKUP(S50,'G-3 Multipliers'!$P$3:$Q$6,2,FALSE))</f>
        <v>1</v>
      </c>
      <c r="W50" s="390">
        <f t="shared" si="5"/>
        <v>0.64086711337117153</v>
      </c>
      <c r="X50" s="117"/>
      <c r="Y50" s="118"/>
      <c r="Z50" s="120"/>
      <c r="AG50" s="30" t="str">
        <f>IFERROR(INDEX('G-6 Hedgerow Data'!$BJ$3:$BJ$15,MATCH(D50,'G-6 Hedgerow Data'!$B$3:$B$15,0)),"")</f>
        <v>Hedgecond1</v>
      </c>
    </row>
    <row r="51" spans="2:33" ht="28.5" x14ac:dyDescent="0.2">
      <c r="B51" s="110">
        <v>40</v>
      </c>
      <c r="C51" s="167">
        <v>41</v>
      </c>
      <c r="D51" s="159" t="s">
        <v>171</v>
      </c>
      <c r="E51" s="139">
        <v>0.35166265010818842</v>
      </c>
      <c r="F51" s="411" t="str">
        <f>IF(D51="","",VLOOKUP(D51,'G-6 Hedgerow Data'!$B$2:$AG$15,2,FALSE))</f>
        <v>Medium</v>
      </c>
      <c r="G51" s="363">
        <f>IF(D51="","",VLOOKUP(D51,'G-6 Hedgerow Data'!$B$2:$AG$15,3,FALSE))</f>
        <v>4</v>
      </c>
      <c r="H51" s="114" t="s">
        <v>68</v>
      </c>
      <c r="I51" s="363">
        <f>IFERROR(VLOOKUP(H51,'G-1 All Habitats'!$Z$2:$AA$9,2,FALSE),"")</f>
        <v>3</v>
      </c>
      <c r="J51" s="114" t="s">
        <v>1037</v>
      </c>
      <c r="K51" s="382" t="str">
        <f>IF(J51="","",IF(VLOOKUP(J51,'G-3 Multipliers'!$L$3:$N$6,2,FALSE)=0,"Spatial Data Missing ⚠",VLOOKUP(J51,'G-3 Multipliers'!$L$3:$N$6,2,FALSE)))</f>
        <v>Low Strategic Significance</v>
      </c>
      <c r="L51" s="368">
        <f>IF(J51="","",IF(VLOOKUP(J51,'G-3 Multipliers'!$L$3:$N$6,3,FALSE)=0,"Spatial Data Missing ⚠",VLOOKUP(J51,'G-3 Multipliers'!$L$3:$N$6,3,FALSE)))</f>
        <v>1</v>
      </c>
      <c r="M51" s="362">
        <f>IF(OR(D51="",H51=""),"",(INDEX('G-6 Hedgerow Data'!$E$3:$I$15,MATCH(D51,'G-6 Hedgerow Data'!$B$3:$B$15,0),MATCH(H51,'G-6 Hedgerow Data'!$E$2:$I$2,0))))</f>
        <v>12</v>
      </c>
      <c r="N51" s="159"/>
      <c r="O51" s="159"/>
      <c r="P51" s="370" t="str">
        <f t="shared" si="1"/>
        <v>Standard time to target condition applied</v>
      </c>
      <c r="Q51" s="383">
        <f t="shared" si="2"/>
        <v>12</v>
      </c>
      <c r="R51" s="384">
        <f t="shared" si="0"/>
        <v>0.65212036070000001</v>
      </c>
      <c r="S51" s="398" t="str">
        <f>IF(D51="","",VLOOKUP(D51,'G-6 Hedgerow Data'!$B$3:$AG$15,31,FALSE))</f>
        <v>Low</v>
      </c>
      <c r="T51" s="370" t="str">
        <f t="shared" si="3"/>
        <v>Standard difficulty applied</v>
      </c>
      <c r="U51" s="370" t="str">
        <f t="shared" si="4"/>
        <v>Low</v>
      </c>
      <c r="V51" s="386">
        <f>IF(D51="","",VLOOKUP(S51,'G-3 Multipliers'!$P$3:$Q$6,2,FALSE))</f>
        <v>1</v>
      </c>
      <c r="W51" s="390">
        <f t="shared" si="5"/>
        <v>2.7519164907992373</v>
      </c>
      <c r="X51" s="117"/>
      <c r="Y51" s="118"/>
      <c r="Z51" s="120"/>
      <c r="AG51" s="30" t="str">
        <f>IFERROR(INDEX('G-6 Hedgerow Data'!$BJ$3:$BJ$15,MATCH(D51,'G-6 Hedgerow Data'!$B$3:$B$15,0)),"")</f>
        <v>Hedgecond1</v>
      </c>
    </row>
    <row r="52" spans="2:33" ht="28.5" x14ac:dyDescent="0.2">
      <c r="B52" s="110">
        <v>41</v>
      </c>
      <c r="C52" s="167">
        <v>42</v>
      </c>
      <c r="D52" s="159" t="s">
        <v>171</v>
      </c>
      <c r="E52" s="139">
        <v>0.13878232594591672</v>
      </c>
      <c r="F52" s="411" t="str">
        <f>IF(D52="","",VLOOKUP(D52,'G-6 Hedgerow Data'!$B$2:$AG$15,2,FALSE))</f>
        <v>Medium</v>
      </c>
      <c r="G52" s="363">
        <f>IF(D52="","",VLOOKUP(D52,'G-6 Hedgerow Data'!$B$2:$AG$15,3,FALSE))</f>
        <v>4</v>
      </c>
      <c r="H52" s="114" t="s">
        <v>68</v>
      </c>
      <c r="I52" s="363">
        <f>IFERROR(VLOOKUP(H52,'G-1 All Habitats'!$Z$2:$AA$9,2,FALSE),"")</f>
        <v>3</v>
      </c>
      <c r="J52" s="114" t="s">
        <v>1037</v>
      </c>
      <c r="K52" s="382" t="str">
        <f>IF(J52="","",IF(VLOOKUP(J52,'G-3 Multipliers'!$L$3:$N$6,2,FALSE)=0,"Spatial Data Missing ⚠",VLOOKUP(J52,'G-3 Multipliers'!$L$3:$N$6,2,FALSE)))</f>
        <v>Low Strategic Significance</v>
      </c>
      <c r="L52" s="368">
        <f>IF(J52="","",IF(VLOOKUP(J52,'G-3 Multipliers'!$L$3:$N$6,3,FALSE)=0,"Spatial Data Missing ⚠",VLOOKUP(J52,'G-3 Multipliers'!$L$3:$N$6,3,FALSE)))</f>
        <v>1</v>
      </c>
      <c r="M52" s="362">
        <f>IF(OR(D52="",H52=""),"",(INDEX('G-6 Hedgerow Data'!$E$3:$I$15,MATCH(D52,'G-6 Hedgerow Data'!$B$3:$B$15,0),MATCH(H52,'G-6 Hedgerow Data'!$E$2:$I$2,0))))</f>
        <v>12</v>
      </c>
      <c r="N52" s="159"/>
      <c r="O52" s="159"/>
      <c r="P52" s="370" t="str">
        <f t="shared" si="1"/>
        <v>Standard time to target condition applied</v>
      </c>
      <c r="Q52" s="383">
        <f t="shared" si="2"/>
        <v>12</v>
      </c>
      <c r="R52" s="384">
        <f t="shared" si="0"/>
        <v>0.65212036070000001</v>
      </c>
      <c r="S52" s="398" t="str">
        <f>IF(D52="","",VLOOKUP(D52,'G-6 Hedgerow Data'!$B$3:$AG$15,31,FALSE))</f>
        <v>Low</v>
      </c>
      <c r="T52" s="370" t="str">
        <f t="shared" si="3"/>
        <v>Standard difficulty applied</v>
      </c>
      <c r="U52" s="370" t="str">
        <f t="shared" si="4"/>
        <v>Low</v>
      </c>
      <c r="V52" s="386">
        <f>IF(D52="","",VLOOKUP(S52,'G-3 Multipliers'!$P$3:$Q$6,2,FALSE))</f>
        <v>1</v>
      </c>
      <c r="W52" s="390">
        <f t="shared" si="5"/>
        <v>1.0860333654556342</v>
      </c>
      <c r="X52" s="117"/>
      <c r="Y52" s="118"/>
      <c r="Z52" s="120"/>
      <c r="AG52" s="30" t="str">
        <f>IFERROR(INDEX('G-6 Hedgerow Data'!$BJ$3:$BJ$15,MATCH(D52,'G-6 Hedgerow Data'!$B$3:$B$15,0)),"")</f>
        <v>Hedgecond1</v>
      </c>
    </row>
    <row r="53" spans="2:33" ht="28.5" x14ac:dyDescent="0.2">
      <c r="B53" s="110">
        <v>42</v>
      </c>
      <c r="C53" s="167">
        <v>43</v>
      </c>
      <c r="D53" s="159" t="s">
        <v>171</v>
      </c>
      <c r="E53" s="139">
        <v>0.18068422520471519</v>
      </c>
      <c r="F53" s="411" t="str">
        <f>IF(D53="","",VLOOKUP(D53,'G-6 Hedgerow Data'!$B$2:$AG$15,2,FALSE))</f>
        <v>Medium</v>
      </c>
      <c r="G53" s="363">
        <f>IF(D53="","",VLOOKUP(D53,'G-6 Hedgerow Data'!$B$2:$AG$15,3,FALSE))</f>
        <v>4</v>
      </c>
      <c r="H53" s="114" t="s">
        <v>68</v>
      </c>
      <c r="I53" s="363">
        <f>IFERROR(VLOOKUP(H53,'G-1 All Habitats'!$Z$2:$AA$9,2,FALSE),"")</f>
        <v>3</v>
      </c>
      <c r="J53" s="114" t="s">
        <v>1037</v>
      </c>
      <c r="K53" s="382" t="str">
        <f>IF(J53="","",IF(VLOOKUP(J53,'G-3 Multipliers'!$L$3:$N$6,2,FALSE)=0,"Spatial Data Missing ⚠",VLOOKUP(J53,'G-3 Multipliers'!$L$3:$N$6,2,FALSE)))</f>
        <v>Low Strategic Significance</v>
      </c>
      <c r="L53" s="368">
        <f>IF(J53="","",IF(VLOOKUP(J53,'G-3 Multipliers'!$L$3:$N$6,3,FALSE)=0,"Spatial Data Missing ⚠",VLOOKUP(J53,'G-3 Multipliers'!$L$3:$N$6,3,FALSE)))</f>
        <v>1</v>
      </c>
      <c r="M53" s="362">
        <f>IF(OR(D53="",H53=""),"",(INDEX('G-6 Hedgerow Data'!$E$3:$I$15,MATCH(D53,'G-6 Hedgerow Data'!$B$3:$B$15,0),MATCH(H53,'G-6 Hedgerow Data'!$E$2:$I$2,0))))</f>
        <v>12</v>
      </c>
      <c r="N53" s="159"/>
      <c r="O53" s="159"/>
      <c r="P53" s="370" t="str">
        <f t="shared" si="1"/>
        <v>Standard time to target condition applied</v>
      </c>
      <c r="Q53" s="383">
        <f t="shared" si="2"/>
        <v>12</v>
      </c>
      <c r="R53" s="384">
        <f t="shared" si="0"/>
        <v>0.65212036070000001</v>
      </c>
      <c r="S53" s="398" t="str">
        <f>IF(D53="","",VLOOKUP(D53,'G-6 Hedgerow Data'!$B$3:$AG$15,31,FALSE))</f>
        <v>Low</v>
      </c>
      <c r="T53" s="370" t="str">
        <f t="shared" si="3"/>
        <v>Standard difficulty applied</v>
      </c>
      <c r="U53" s="370" t="str">
        <f t="shared" si="4"/>
        <v>Low</v>
      </c>
      <c r="V53" s="386">
        <f>IF(D53="","",VLOOKUP(S53,'G-3 Multipliers'!$P$3:$Q$6,2,FALSE))</f>
        <v>1</v>
      </c>
      <c r="W53" s="390">
        <f t="shared" si="5"/>
        <v>1.413934345359587</v>
      </c>
      <c r="X53" s="117"/>
      <c r="Y53" s="118"/>
      <c r="Z53" s="120"/>
      <c r="AG53" s="30" t="str">
        <f>IFERROR(INDEX('G-6 Hedgerow Data'!$BJ$3:$BJ$15,MATCH(D53,'G-6 Hedgerow Data'!$B$3:$B$15,0)),"")</f>
        <v>Hedgecond1</v>
      </c>
    </row>
    <row r="54" spans="2:33" ht="28.5" x14ac:dyDescent="0.2">
      <c r="B54" s="110">
        <v>43</v>
      </c>
      <c r="C54" s="167">
        <v>44</v>
      </c>
      <c r="D54" s="159" t="s">
        <v>171</v>
      </c>
      <c r="E54" s="139">
        <v>0.15450529456381801</v>
      </c>
      <c r="F54" s="411" t="str">
        <f>IF(D54="","",VLOOKUP(D54,'G-6 Hedgerow Data'!$B$2:$AG$15,2,FALSE))</f>
        <v>Medium</v>
      </c>
      <c r="G54" s="363">
        <f>IF(D54="","",VLOOKUP(D54,'G-6 Hedgerow Data'!$B$2:$AG$15,3,FALSE))</f>
        <v>4</v>
      </c>
      <c r="H54" s="114" t="s">
        <v>68</v>
      </c>
      <c r="I54" s="363">
        <f>IFERROR(VLOOKUP(H54,'G-1 All Habitats'!$Z$2:$AA$9,2,FALSE),"")</f>
        <v>3</v>
      </c>
      <c r="J54" s="114" t="s">
        <v>1037</v>
      </c>
      <c r="K54" s="382" t="str">
        <f>IF(J54="","",IF(VLOOKUP(J54,'G-3 Multipliers'!$L$3:$N$6,2,FALSE)=0,"Spatial Data Missing ⚠",VLOOKUP(J54,'G-3 Multipliers'!$L$3:$N$6,2,FALSE)))</f>
        <v>Low Strategic Significance</v>
      </c>
      <c r="L54" s="368">
        <f>IF(J54="","",IF(VLOOKUP(J54,'G-3 Multipliers'!$L$3:$N$6,3,FALSE)=0,"Spatial Data Missing ⚠",VLOOKUP(J54,'G-3 Multipliers'!$L$3:$N$6,3,FALSE)))</f>
        <v>1</v>
      </c>
      <c r="M54" s="362">
        <f>IF(OR(D54="",H54=""),"",(INDEX('G-6 Hedgerow Data'!$E$3:$I$15,MATCH(D54,'G-6 Hedgerow Data'!$B$3:$B$15,0),MATCH(H54,'G-6 Hedgerow Data'!$E$2:$I$2,0))))</f>
        <v>12</v>
      </c>
      <c r="N54" s="159"/>
      <c r="O54" s="159"/>
      <c r="P54" s="370" t="str">
        <f t="shared" si="1"/>
        <v>Standard time to target condition applied</v>
      </c>
      <c r="Q54" s="383">
        <f t="shared" si="2"/>
        <v>12</v>
      </c>
      <c r="R54" s="384">
        <f t="shared" si="0"/>
        <v>0.65212036070000001</v>
      </c>
      <c r="S54" s="398" t="str">
        <f>IF(D54="","",VLOOKUP(D54,'G-6 Hedgerow Data'!$B$3:$AG$15,31,FALSE))</f>
        <v>Low</v>
      </c>
      <c r="T54" s="370" t="str">
        <f t="shared" si="3"/>
        <v>Standard difficulty applied</v>
      </c>
      <c r="U54" s="370" t="str">
        <f t="shared" si="4"/>
        <v>Low</v>
      </c>
      <c r="V54" s="386">
        <f>IF(D54="","",VLOOKUP(S54,'G-3 Multipliers'!$P$3:$Q$6,2,FALSE))</f>
        <v>1</v>
      </c>
      <c r="W54" s="390">
        <f t="shared" si="5"/>
        <v>1.2090725810522009</v>
      </c>
      <c r="X54" s="117"/>
      <c r="Y54" s="118"/>
      <c r="Z54" s="120"/>
      <c r="AG54" s="30" t="str">
        <f>IFERROR(INDEX('G-6 Hedgerow Data'!$BJ$3:$BJ$15,MATCH(D54,'G-6 Hedgerow Data'!$B$3:$B$15,0)),"")</f>
        <v>Hedgecond1</v>
      </c>
    </row>
    <row r="55" spans="2:33" ht="28.5" x14ac:dyDescent="0.2">
      <c r="B55" s="110">
        <v>44</v>
      </c>
      <c r="C55" s="167">
        <v>45</v>
      </c>
      <c r="D55" s="159" t="s">
        <v>171</v>
      </c>
      <c r="E55" s="139">
        <v>0.23718003985791342</v>
      </c>
      <c r="F55" s="411" t="str">
        <f>IF(D55="","",VLOOKUP(D55,'G-6 Hedgerow Data'!$B$2:$AG$15,2,FALSE))</f>
        <v>Medium</v>
      </c>
      <c r="G55" s="363">
        <f>IF(D55="","",VLOOKUP(D55,'G-6 Hedgerow Data'!$B$2:$AG$15,3,FALSE))</f>
        <v>4</v>
      </c>
      <c r="H55" s="114" t="s">
        <v>68</v>
      </c>
      <c r="I55" s="363">
        <f>IFERROR(VLOOKUP(H55,'G-1 All Habitats'!$Z$2:$AA$9,2,FALSE),"")</f>
        <v>3</v>
      </c>
      <c r="J55" s="114" t="s">
        <v>1037</v>
      </c>
      <c r="K55" s="382" t="str">
        <f>IF(J55="","",IF(VLOOKUP(J55,'G-3 Multipliers'!$L$3:$N$6,2,FALSE)=0,"Spatial Data Missing ⚠",VLOOKUP(J55,'G-3 Multipliers'!$L$3:$N$6,2,FALSE)))</f>
        <v>Low Strategic Significance</v>
      </c>
      <c r="L55" s="368">
        <f>IF(J55="","",IF(VLOOKUP(J55,'G-3 Multipliers'!$L$3:$N$6,3,FALSE)=0,"Spatial Data Missing ⚠",VLOOKUP(J55,'G-3 Multipliers'!$L$3:$N$6,3,FALSE)))</f>
        <v>1</v>
      </c>
      <c r="M55" s="362">
        <f>IF(OR(D55="",H55=""),"",(INDEX('G-6 Hedgerow Data'!$E$3:$I$15,MATCH(D55,'G-6 Hedgerow Data'!$B$3:$B$15,0),MATCH(H55,'G-6 Hedgerow Data'!$E$2:$I$2,0))))</f>
        <v>12</v>
      </c>
      <c r="N55" s="159"/>
      <c r="O55" s="159"/>
      <c r="P55" s="370" t="str">
        <f t="shared" si="1"/>
        <v>Standard time to target condition applied</v>
      </c>
      <c r="Q55" s="383">
        <f t="shared" si="2"/>
        <v>12</v>
      </c>
      <c r="R55" s="384">
        <f t="shared" si="0"/>
        <v>0.65212036070000001</v>
      </c>
      <c r="S55" s="398" t="str">
        <f>IF(D55="","",VLOOKUP(D55,'G-6 Hedgerow Data'!$B$3:$AG$15,31,FALSE))</f>
        <v>Low</v>
      </c>
      <c r="T55" s="370" t="str">
        <f t="shared" si="3"/>
        <v>Standard difficulty applied</v>
      </c>
      <c r="U55" s="370" t="str">
        <f t="shared" si="4"/>
        <v>Low</v>
      </c>
      <c r="V55" s="386">
        <f>IF(D55="","",VLOOKUP(S55,'G-3 Multipliers'!$P$3:$Q$6,2,FALSE))</f>
        <v>1</v>
      </c>
      <c r="W55" s="390">
        <f t="shared" si="5"/>
        <v>1.8560391977157946</v>
      </c>
      <c r="X55" s="117"/>
      <c r="Y55" s="118"/>
      <c r="Z55" s="120"/>
      <c r="AG55" s="30" t="str">
        <f>IFERROR(INDEX('G-6 Hedgerow Data'!$BJ$3:$BJ$15,MATCH(D55,'G-6 Hedgerow Data'!$B$3:$B$15,0)),"")</f>
        <v>Hedgecond1</v>
      </c>
    </row>
    <row r="56" spans="2:33" ht="28.5" x14ac:dyDescent="0.2">
      <c r="B56" s="110">
        <v>45</v>
      </c>
      <c r="C56" s="167">
        <v>46</v>
      </c>
      <c r="D56" s="159" t="s">
        <v>171</v>
      </c>
      <c r="E56" s="139">
        <v>0.18870692252763399</v>
      </c>
      <c r="F56" s="411" t="str">
        <f>IF(D56="","",VLOOKUP(D56,'G-6 Hedgerow Data'!$B$2:$AG$15,2,FALSE))</f>
        <v>Medium</v>
      </c>
      <c r="G56" s="363">
        <f>IF(D56="","",VLOOKUP(D56,'G-6 Hedgerow Data'!$B$2:$AG$15,3,FALSE))</f>
        <v>4</v>
      </c>
      <c r="H56" s="114" t="s">
        <v>68</v>
      </c>
      <c r="I56" s="363">
        <f>IFERROR(VLOOKUP(H56,'G-1 All Habitats'!$Z$2:$AA$9,2,FALSE),"")</f>
        <v>3</v>
      </c>
      <c r="J56" s="114" t="s">
        <v>1037</v>
      </c>
      <c r="K56" s="382" t="str">
        <f>IF(J56="","",IF(VLOOKUP(J56,'G-3 Multipliers'!$L$3:$N$6,2,FALSE)=0,"Spatial Data Missing ⚠",VLOOKUP(J56,'G-3 Multipliers'!$L$3:$N$6,2,FALSE)))</f>
        <v>Low Strategic Significance</v>
      </c>
      <c r="L56" s="368">
        <f>IF(J56="","",IF(VLOOKUP(J56,'G-3 Multipliers'!$L$3:$N$6,3,FALSE)=0,"Spatial Data Missing ⚠",VLOOKUP(J56,'G-3 Multipliers'!$L$3:$N$6,3,FALSE)))</f>
        <v>1</v>
      </c>
      <c r="M56" s="362">
        <f>IF(OR(D56="",H56=""),"",(INDEX('G-6 Hedgerow Data'!$E$3:$I$15,MATCH(D56,'G-6 Hedgerow Data'!$B$3:$B$15,0),MATCH(H56,'G-6 Hedgerow Data'!$E$2:$I$2,0))))</f>
        <v>12</v>
      </c>
      <c r="N56" s="159"/>
      <c r="O56" s="159"/>
      <c r="P56" s="370" t="str">
        <f t="shared" si="1"/>
        <v>Standard time to target condition applied</v>
      </c>
      <c r="Q56" s="383">
        <f t="shared" si="2"/>
        <v>12</v>
      </c>
      <c r="R56" s="384">
        <f t="shared" si="0"/>
        <v>0.65212036070000001</v>
      </c>
      <c r="S56" s="398" t="str">
        <f>IF(D56="","",VLOOKUP(D56,'G-6 Hedgerow Data'!$B$3:$AG$15,31,FALSE))</f>
        <v>Low</v>
      </c>
      <c r="T56" s="370" t="str">
        <f t="shared" si="3"/>
        <v>Standard difficulty applied</v>
      </c>
      <c r="U56" s="370" t="str">
        <f t="shared" si="4"/>
        <v>Low</v>
      </c>
      <c r="V56" s="386">
        <f>IF(D56="","",VLOOKUP(S56,'G-3 Multipliers'!$P$3:$Q$6,2,FALSE))</f>
        <v>1</v>
      </c>
      <c r="W56" s="390">
        <f t="shared" si="5"/>
        <v>1.4767155166236916</v>
      </c>
      <c r="X56" s="117"/>
      <c r="Y56" s="118"/>
      <c r="Z56" s="120"/>
      <c r="AG56" s="30" t="str">
        <f>IFERROR(INDEX('G-6 Hedgerow Data'!$BJ$3:$BJ$15,MATCH(D56,'G-6 Hedgerow Data'!$B$3:$B$15,0)),"")</f>
        <v>Hedgecond1</v>
      </c>
    </row>
    <row r="57" spans="2:33" ht="28.5" x14ac:dyDescent="0.2">
      <c r="B57" s="110">
        <v>46</v>
      </c>
      <c r="C57" s="167">
        <v>47</v>
      </c>
      <c r="D57" s="159" t="s">
        <v>171</v>
      </c>
      <c r="E57" s="139">
        <v>0.1986187762647193</v>
      </c>
      <c r="F57" s="411" t="str">
        <f>IF(D57="","",VLOOKUP(D57,'G-6 Hedgerow Data'!$B$2:$AG$15,2,FALSE))</f>
        <v>Medium</v>
      </c>
      <c r="G57" s="363">
        <f>IF(D57="","",VLOOKUP(D57,'G-6 Hedgerow Data'!$B$2:$AG$15,3,FALSE))</f>
        <v>4</v>
      </c>
      <c r="H57" s="114" t="s">
        <v>68</v>
      </c>
      <c r="I57" s="363">
        <f>IFERROR(VLOOKUP(H57,'G-1 All Habitats'!$Z$2:$AA$9,2,FALSE),"")</f>
        <v>3</v>
      </c>
      <c r="J57" s="114" t="s">
        <v>1037</v>
      </c>
      <c r="K57" s="382" t="str">
        <f>IF(J57="","",IF(VLOOKUP(J57,'G-3 Multipliers'!$L$3:$N$6,2,FALSE)=0,"Spatial Data Missing ⚠",VLOOKUP(J57,'G-3 Multipliers'!$L$3:$N$6,2,FALSE)))</f>
        <v>Low Strategic Significance</v>
      </c>
      <c r="L57" s="368">
        <f>IF(J57="","",IF(VLOOKUP(J57,'G-3 Multipliers'!$L$3:$N$6,3,FALSE)=0,"Spatial Data Missing ⚠",VLOOKUP(J57,'G-3 Multipliers'!$L$3:$N$6,3,FALSE)))</f>
        <v>1</v>
      </c>
      <c r="M57" s="362">
        <f>IF(OR(D57="",H57=""),"",(INDEX('G-6 Hedgerow Data'!$E$3:$I$15,MATCH(D57,'G-6 Hedgerow Data'!$B$3:$B$15,0),MATCH(H57,'G-6 Hedgerow Data'!$E$2:$I$2,0))))</f>
        <v>12</v>
      </c>
      <c r="N57" s="159"/>
      <c r="O57" s="159"/>
      <c r="P57" s="370" t="str">
        <f t="shared" si="1"/>
        <v>Standard time to target condition applied</v>
      </c>
      <c r="Q57" s="383">
        <f t="shared" si="2"/>
        <v>12</v>
      </c>
      <c r="R57" s="384">
        <f t="shared" si="0"/>
        <v>0.65212036070000001</v>
      </c>
      <c r="S57" s="398" t="str">
        <f>IF(D57="","",VLOOKUP(D57,'G-6 Hedgerow Data'!$B$3:$AG$15,31,FALSE))</f>
        <v>Low</v>
      </c>
      <c r="T57" s="370" t="str">
        <f t="shared" si="3"/>
        <v>Standard difficulty applied</v>
      </c>
      <c r="U57" s="370" t="str">
        <f t="shared" si="4"/>
        <v>Low</v>
      </c>
      <c r="V57" s="386">
        <f>IF(D57="","",VLOOKUP(S57,'G-3 Multipliers'!$P$3:$Q$6,2,FALSE))</f>
        <v>1</v>
      </c>
      <c r="W57" s="390">
        <f t="shared" si="5"/>
        <v>1.554280176234496</v>
      </c>
      <c r="X57" s="117"/>
      <c r="Y57" s="118"/>
      <c r="Z57" s="120"/>
      <c r="AG57" s="30" t="str">
        <f>IFERROR(INDEX('G-6 Hedgerow Data'!$BJ$3:$BJ$15,MATCH(D57,'G-6 Hedgerow Data'!$B$3:$B$15,0)),"")</f>
        <v>Hedgecond1</v>
      </c>
    </row>
    <row r="58" spans="2:33" ht="28.5" x14ac:dyDescent="0.2">
      <c r="B58" s="110">
        <v>47</v>
      </c>
      <c r="C58" s="167">
        <v>48</v>
      </c>
      <c r="D58" s="159" t="s">
        <v>171</v>
      </c>
      <c r="E58" s="139">
        <v>0.108672984662931</v>
      </c>
      <c r="F58" s="411" t="str">
        <f>IF(D58="","",VLOOKUP(D58,'G-6 Hedgerow Data'!$B$2:$AG$15,2,FALSE))</f>
        <v>Medium</v>
      </c>
      <c r="G58" s="363">
        <f>IF(D58="","",VLOOKUP(D58,'G-6 Hedgerow Data'!$B$2:$AG$15,3,FALSE))</f>
        <v>4</v>
      </c>
      <c r="H58" s="114" t="s">
        <v>68</v>
      </c>
      <c r="I58" s="363">
        <f>IFERROR(VLOOKUP(H58,'G-1 All Habitats'!$Z$2:$AA$9,2,FALSE),"")</f>
        <v>3</v>
      </c>
      <c r="J58" s="114" t="s">
        <v>1037</v>
      </c>
      <c r="K58" s="382" t="str">
        <f>IF(J58="","",IF(VLOOKUP(J58,'G-3 Multipliers'!$L$3:$N$6,2,FALSE)=0,"Spatial Data Missing ⚠",VLOOKUP(J58,'G-3 Multipliers'!$L$3:$N$6,2,FALSE)))</f>
        <v>Low Strategic Significance</v>
      </c>
      <c r="L58" s="368">
        <f>IF(J58="","",IF(VLOOKUP(J58,'G-3 Multipliers'!$L$3:$N$6,3,FALSE)=0,"Spatial Data Missing ⚠",VLOOKUP(J58,'G-3 Multipliers'!$L$3:$N$6,3,FALSE)))</f>
        <v>1</v>
      </c>
      <c r="M58" s="362">
        <f>IF(OR(D58="",H58=""),"",(INDEX('G-6 Hedgerow Data'!$E$3:$I$15,MATCH(D58,'G-6 Hedgerow Data'!$B$3:$B$15,0),MATCH(H58,'G-6 Hedgerow Data'!$E$2:$I$2,0))))</f>
        <v>12</v>
      </c>
      <c r="N58" s="159"/>
      <c r="O58" s="159"/>
      <c r="P58" s="370" t="str">
        <f t="shared" si="1"/>
        <v>Standard time to target condition applied</v>
      </c>
      <c r="Q58" s="383">
        <f t="shared" si="2"/>
        <v>12</v>
      </c>
      <c r="R58" s="384">
        <f t="shared" si="0"/>
        <v>0.65212036070000001</v>
      </c>
      <c r="S58" s="398" t="str">
        <f>IF(D58="","",VLOOKUP(D58,'G-6 Hedgerow Data'!$B$3:$AG$15,31,FALSE))</f>
        <v>Low</v>
      </c>
      <c r="T58" s="370" t="str">
        <f t="shared" si="3"/>
        <v>Standard difficulty applied</v>
      </c>
      <c r="U58" s="370" t="str">
        <f t="shared" si="4"/>
        <v>Low</v>
      </c>
      <c r="V58" s="386">
        <f>IF(D58="","",VLOOKUP(S58,'G-3 Multipliers'!$P$3:$Q$6,2,FALSE))</f>
        <v>1</v>
      </c>
      <c r="W58" s="390">
        <f t="shared" si="5"/>
        <v>0.85041439148083353</v>
      </c>
      <c r="X58" s="117"/>
      <c r="Y58" s="118"/>
      <c r="Z58" s="120"/>
      <c r="AG58" s="30" t="str">
        <f>IFERROR(INDEX('G-6 Hedgerow Data'!$BJ$3:$BJ$15,MATCH(D58,'G-6 Hedgerow Data'!$B$3:$B$15,0)),"")</f>
        <v>Hedgecond1</v>
      </c>
    </row>
    <row r="59" spans="2:33" ht="28.5" x14ac:dyDescent="0.2">
      <c r="B59" s="110">
        <v>48</v>
      </c>
      <c r="C59" s="167">
        <v>49</v>
      </c>
      <c r="D59" s="159" t="s">
        <v>171</v>
      </c>
      <c r="E59" s="139">
        <v>8.3551441501242135E-2</v>
      </c>
      <c r="F59" s="411" t="str">
        <f>IF(D59="","",VLOOKUP(D59,'G-6 Hedgerow Data'!$B$2:$AG$15,2,FALSE))</f>
        <v>Medium</v>
      </c>
      <c r="G59" s="363">
        <f>IF(D59="","",VLOOKUP(D59,'G-6 Hedgerow Data'!$B$2:$AG$15,3,FALSE))</f>
        <v>4</v>
      </c>
      <c r="H59" s="114" t="s">
        <v>68</v>
      </c>
      <c r="I59" s="363">
        <f>IFERROR(VLOOKUP(H59,'G-1 All Habitats'!$Z$2:$AA$9,2,FALSE),"")</f>
        <v>3</v>
      </c>
      <c r="J59" s="114" t="s">
        <v>1037</v>
      </c>
      <c r="K59" s="382" t="str">
        <f>IF(J59="","",IF(VLOOKUP(J59,'G-3 Multipliers'!$L$3:$N$6,2,FALSE)=0,"Spatial Data Missing ⚠",VLOOKUP(J59,'G-3 Multipliers'!$L$3:$N$6,2,FALSE)))</f>
        <v>Low Strategic Significance</v>
      </c>
      <c r="L59" s="368">
        <f>IF(J59="","",IF(VLOOKUP(J59,'G-3 Multipliers'!$L$3:$N$6,3,FALSE)=0,"Spatial Data Missing ⚠",VLOOKUP(J59,'G-3 Multipliers'!$L$3:$N$6,3,FALSE)))</f>
        <v>1</v>
      </c>
      <c r="M59" s="362">
        <f>IF(OR(D59="",H59=""),"",(INDEX('G-6 Hedgerow Data'!$E$3:$I$15,MATCH(D59,'G-6 Hedgerow Data'!$B$3:$B$15,0),MATCH(H59,'G-6 Hedgerow Data'!$E$2:$I$2,0))))</f>
        <v>12</v>
      </c>
      <c r="N59" s="159"/>
      <c r="O59" s="159"/>
      <c r="P59" s="370" t="str">
        <f t="shared" si="1"/>
        <v>Standard time to target condition applied</v>
      </c>
      <c r="Q59" s="383">
        <f t="shared" si="2"/>
        <v>12</v>
      </c>
      <c r="R59" s="384">
        <f t="shared" si="0"/>
        <v>0.65212036070000001</v>
      </c>
      <c r="S59" s="398" t="str">
        <f>IF(D59="","",VLOOKUP(D59,'G-6 Hedgerow Data'!$B$3:$AG$15,31,FALSE))</f>
        <v>Low</v>
      </c>
      <c r="T59" s="370" t="str">
        <f t="shared" si="3"/>
        <v>Standard difficulty applied</v>
      </c>
      <c r="U59" s="370" t="str">
        <f t="shared" si="4"/>
        <v>Low</v>
      </c>
      <c r="V59" s="386">
        <f>IF(D59="","",VLOOKUP(S59,'G-3 Multipliers'!$P$3:$Q$6,2,FALSE))</f>
        <v>1</v>
      </c>
      <c r="W59" s="390">
        <f t="shared" si="5"/>
        <v>0.65382715402553959</v>
      </c>
      <c r="X59" s="117"/>
      <c r="Y59" s="118"/>
      <c r="Z59" s="120"/>
      <c r="AG59" s="30" t="str">
        <f>IFERROR(INDEX('G-6 Hedgerow Data'!$BJ$3:$BJ$15,MATCH(D59,'G-6 Hedgerow Data'!$B$3:$B$15,0)),"")</f>
        <v>Hedgecond1</v>
      </c>
    </row>
    <row r="60" spans="2:33" ht="28.5" x14ac:dyDescent="0.2">
      <c r="B60" s="110">
        <v>49</v>
      </c>
      <c r="C60" s="167">
        <v>50</v>
      </c>
      <c r="D60" s="159" t="s">
        <v>171</v>
      </c>
      <c r="E60" s="139">
        <v>0.2384737245080247</v>
      </c>
      <c r="F60" s="411" t="str">
        <f>IF(D60="","",VLOOKUP(D60,'G-6 Hedgerow Data'!$B$2:$AG$15,2,FALSE))</f>
        <v>Medium</v>
      </c>
      <c r="G60" s="363">
        <f>IF(D60="","",VLOOKUP(D60,'G-6 Hedgerow Data'!$B$2:$AG$15,3,FALSE))</f>
        <v>4</v>
      </c>
      <c r="H60" s="114" t="s">
        <v>68</v>
      </c>
      <c r="I60" s="363">
        <f>IFERROR(VLOOKUP(H60,'G-1 All Habitats'!$Z$2:$AA$9,2,FALSE),"")</f>
        <v>3</v>
      </c>
      <c r="J60" s="114" t="s">
        <v>1037</v>
      </c>
      <c r="K60" s="382" t="str">
        <f>IF(J60="","",IF(VLOOKUP(J60,'G-3 Multipliers'!$L$3:$N$6,2,FALSE)=0,"Spatial Data Missing ⚠",VLOOKUP(J60,'G-3 Multipliers'!$L$3:$N$6,2,FALSE)))</f>
        <v>Low Strategic Significance</v>
      </c>
      <c r="L60" s="368">
        <f>IF(J60="","",IF(VLOOKUP(J60,'G-3 Multipliers'!$L$3:$N$6,3,FALSE)=0,"Spatial Data Missing ⚠",VLOOKUP(J60,'G-3 Multipliers'!$L$3:$N$6,3,FALSE)))</f>
        <v>1</v>
      </c>
      <c r="M60" s="362">
        <f>IF(OR(D60="",H60=""),"",(INDEX('G-6 Hedgerow Data'!$E$3:$I$15,MATCH(D60,'G-6 Hedgerow Data'!$B$3:$B$15,0),MATCH(H60,'G-6 Hedgerow Data'!$E$2:$I$2,0))))</f>
        <v>12</v>
      </c>
      <c r="N60" s="159"/>
      <c r="O60" s="159"/>
      <c r="P60" s="370" t="str">
        <f t="shared" si="1"/>
        <v>Standard time to target condition applied</v>
      </c>
      <c r="Q60" s="383">
        <f t="shared" si="2"/>
        <v>12</v>
      </c>
      <c r="R60" s="384">
        <f t="shared" si="0"/>
        <v>0.65212036070000001</v>
      </c>
      <c r="S60" s="398" t="str">
        <f>IF(D60="","",VLOOKUP(D60,'G-6 Hedgerow Data'!$B$3:$AG$15,31,FALSE))</f>
        <v>Low</v>
      </c>
      <c r="T60" s="370" t="str">
        <f t="shared" si="3"/>
        <v>Standard difficulty applied</v>
      </c>
      <c r="U60" s="370" t="str">
        <f t="shared" si="4"/>
        <v>Low</v>
      </c>
      <c r="V60" s="386">
        <f>IF(D60="","",VLOOKUP(S60,'G-3 Multipliers'!$P$3:$Q$6,2,FALSE))</f>
        <v>1</v>
      </c>
      <c r="W60" s="390">
        <f t="shared" si="5"/>
        <v>1.8661628549237459</v>
      </c>
      <c r="X60" s="117"/>
      <c r="Y60" s="118"/>
      <c r="Z60" s="120"/>
      <c r="AG60" s="30" t="str">
        <f>IFERROR(INDEX('G-6 Hedgerow Data'!$BJ$3:$BJ$15,MATCH(D60,'G-6 Hedgerow Data'!$B$3:$B$15,0)),"")</f>
        <v>Hedgecond1</v>
      </c>
    </row>
    <row r="61" spans="2:33" ht="28.5" x14ac:dyDescent="0.2">
      <c r="B61" s="110">
        <v>50</v>
      </c>
      <c r="C61" s="167">
        <v>51</v>
      </c>
      <c r="D61" s="159" t="s">
        <v>171</v>
      </c>
      <c r="E61" s="139">
        <v>0.25072812128760341</v>
      </c>
      <c r="F61" s="411" t="str">
        <f>IF(D61="","",VLOOKUP(D61,'G-6 Hedgerow Data'!$B$2:$AG$15,2,FALSE))</f>
        <v>Medium</v>
      </c>
      <c r="G61" s="363">
        <f>IF(D61="","",VLOOKUP(D61,'G-6 Hedgerow Data'!$B$2:$AG$15,3,FALSE))</f>
        <v>4</v>
      </c>
      <c r="H61" s="114" t="s">
        <v>68</v>
      </c>
      <c r="I61" s="363">
        <f>IFERROR(VLOOKUP(H61,'G-1 All Habitats'!$Z$2:$AA$9,2,FALSE),"")</f>
        <v>3</v>
      </c>
      <c r="J61" s="114" t="s">
        <v>1037</v>
      </c>
      <c r="K61" s="382" t="str">
        <f>IF(J61="","",IF(VLOOKUP(J61,'G-3 Multipliers'!$L$3:$N$6,2,FALSE)=0,"Spatial Data Missing ⚠",VLOOKUP(J61,'G-3 Multipliers'!$L$3:$N$6,2,FALSE)))</f>
        <v>Low Strategic Significance</v>
      </c>
      <c r="L61" s="368">
        <f>IF(J61="","",IF(VLOOKUP(J61,'G-3 Multipliers'!$L$3:$N$6,3,FALSE)=0,"Spatial Data Missing ⚠",VLOOKUP(J61,'G-3 Multipliers'!$L$3:$N$6,3,FALSE)))</f>
        <v>1</v>
      </c>
      <c r="M61" s="362">
        <f>IF(OR(D61="",H61=""),"",(INDEX('G-6 Hedgerow Data'!$E$3:$I$15,MATCH(D61,'G-6 Hedgerow Data'!$B$3:$B$15,0),MATCH(H61,'G-6 Hedgerow Data'!$E$2:$I$2,0))))</f>
        <v>12</v>
      </c>
      <c r="N61" s="159"/>
      <c r="O61" s="159"/>
      <c r="P61" s="370" t="str">
        <f t="shared" si="1"/>
        <v>Standard time to target condition applied</v>
      </c>
      <c r="Q61" s="383">
        <f t="shared" si="2"/>
        <v>12</v>
      </c>
      <c r="R61" s="384">
        <f t="shared" si="0"/>
        <v>0.65212036070000001</v>
      </c>
      <c r="S61" s="398" t="str">
        <f>IF(D61="","",VLOOKUP(D61,'G-6 Hedgerow Data'!$B$3:$AG$15,31,FALSE))</f>
        <v>Low</v>
      </c>
      <c r="T61" s="370" t="str">
        <f t="shared" si="3"/>
        <v>Standard difficulty applied</v>
      </c>
      <c r="U61" s="370" t="str">
        <f t="shared" si="4"/>
        <v>Low</v>
      </c>
      <c r="V61" s="386">
        <f>IF(D61="","",VLOOKUP(S61,'G-3 Multipliers'!$P$3:$Q$6,2,FALSE))</f>
        <v>1</v>
      </c>
      <c r="W61" s="390">
        <f t="shared" si="5"/>
        <v>1.9620589547004637</v>
      </c>
      <c r="X61" s="117"/>
      <c r="Y61" s="118"/>
      <c r="Z61" s="120"/>
      <c r="AG61" s="30" t="str">
        <f>IFERROR(INDEX('G-6 Hedgerow Data'!$BJ$3:$BJ$15,MATCH(D61,'G-6 Hedgerow Data'!$B$3:$B$15,0)),"")</f>
        <v>Hedgecond1</v>
      </c>
    </row>
    <row r="62" spans="2:33" ht="28.5" x14ac:dyDescent="0.2">
      <c r="B62" s="110">
        <v>51</v>
      </c>
      <c r="C62" s="167">
        <v>52</v>
      </c>
      <c r="D62" s="159" t="s">
        <v>171</v>
      </c>
      <c r="E62" s="139">
        <v>0.1039032618912105</v>
      </c>
      <c r="F62" s="411" t="str">
        <f>IF(D62="","",VLOOKUP(D62,'G-6 Hedgerow Data'!$B$2:$AG$15,2,FALSE))</f>
        <v>Medium</v>
      </c>
      <c r="G62" s="363">
        <f>IF(D62="","",VLOOKUP(D62,'G-6 Hedgerow Data'!$B$2:$AG$15,3,FALSE))</f>
        <v>4</v>
      </c>
      <c r="H62" s="114" t="s">
        <v>68</v>
      </c>
      <c r="I62" s="363">
        <f>IFERROR(VLOOKUP(H62,'G-1 All Habitats'!$Z$2:$AA$9,2,FALSE),"")</f>
        <v>3</v>
      </c>
      <c r="J62" s="114" t="s">
        <v>1037</v>
      </c>
      <c r="K62" s="382" t="str">
        <f>IF(J62="","",IF(VLOOKUP(J62,'G-3 Multipliers'!$L$3:$N$6,2,FALSE)=0,"Spatial Data Missing ⚠",VLOOKUP(J62,'G-3 Multipliers'!$L$3:$N$6,2,FALSE)))</f>
        <v>Low Strategic Significance</v>
      </c>
      <c r="L62" s="368">
        <f>IF(J62="","",IF(VLOOKUP(J62,'G-3 Multipliers'!$L$3:$N$6,3,FALSE)=0,"Spatial Data Missing ⚠",VLOOKUP(J62,'G-3 Multipliers'!$L$3:$N$6,3,FALSE)))</f>
        <v>1</v>
      </c>
      <c r="M62" s="362">
        <f>IF(OR(D62="",H62=""),"",(INDEX('G-6 Hedgerow Data'!$E$3:$I$15,MATCH(D62,'G-6 Hedgerow Data'!$B$3:$B$15,0),MATCH(H62,'G-6 Hedgerow Data'!$E$2:$I$2,0))))</f>
        <v>12</v>
      </c>
      <c r="N62" s="159"/>
      <c r="O62" s="159"/>
      <c r="P62" s="370" t="str">
        <f t="shared" si="1"/>
        <v>Standard time to target condition applied</v>
      </c>
      <c r="Q62" s="383">
        <f t="shared" si="2"/>
        <v>12</v>
      </c>
      <c r="R62" s="384">
        <f t="shared" si="0"/>
        <v>0.65212036070000001</v>
      </c>
      <c r="S62" s="398" t="str">
        <f>IF(D62="","",VLOOKUP(D62,'G-6 Hedgerow Data'!$B$3:$AG$15,31,FALSE))</f>
        <v>Low</v>
      </c>
      <c r="T62" s="370" t="str">
        <f t="shared" si="3"/>
        <v>Standard difficulty applied</v>
      </c>
      <c r="U62" s="370" t="str">
        <f t="shared" si="4"/>
        <v>Low</v>
      </c>
      <c r="V62" s="386">
        <f>IF(D62="","",VLOOKUP(S62,'G-3 Multipliers'!$P$3:$Q$6,2,FALSE))</f>
        <v>1</v>
      </c>
      <c r="W62" s="390">
        <f t="shared" si="5"/>
        <v>0.81308919146883307</v>
      </c>
      <c r="X62" s="117"/>
      <c r="Y62" s="118"/>
      <c r="Z62" s="120"/>
      <c r="AG62" s="30" t="str">
        <f>IFERROR(INDEX('G-6 Hedgerow Data'!$BJ$3:$BJ$15,MATCH(D62,'G-6 Hedgerow Data'!$B$3:$B$15,0)),"")</f>
        <v>Hedgecond1</v>
      </c>
    </row>
    <row r="63" spans="2:33" ht="28.5" x14ac:dyDescent="0.2">
      <c r="B63" s="110">
        <v>52</v>
      </c>
      <c r="C63" s="167">
        <v>53</v>
      </c>
      <c r="D63" s="159" t="s">
        <v>171</v>
      </c>
      <c r="E63" s="139">
        <v>0.26688259562281702</v>
      </c>
      <c r="F63" s="411" t="str">
        <f>IF(D63="","",VLOOKUP(D63,'G-6 Hedgerow Data'!$B$2:$AG$15,2,FALSE))</f>
        <v>Medium</v>
      </c>
      <c r="G63" s="363">
        <f>IF(D63="","",VLOOKUP(D63,'G-6 Hedgerow Data'!$B$2:$AG$15,3,FALSE))</f>
        <v>4</v>
      </c>
      <c r="H63" s="114" t="s">
        <v>68</v>
      </c>
      <c r="I63" s="363">
        <f>IFERROR(VLOOKUP(H63,'G-1 All Habitats'!$Z$2:$AA$9,2,FALSE),"")</f>
        <v>3</v>
      </c>
      <c r="J63" s="114" t="s">
        <v>1037</v>
      </c>
      <c r="K63" s="382" t="str">
        <f>IF(J63="","",IF(VLOOKUP(J63,'G-3 Multipliers'!$L$3:$N$6,2,FALSE)=0,"Spatial Data Missing ⚠",VLOOKUP(J63,'G-3 Multipliers'!$L$3:$N$6,2,FALSE)))</f>
        <v>Low Strategic Significance</v>
      </c>
      <c r="L63" s="368">
        <f>IF(J63="","",IF(VLOOKUP(J63,'G-3 Multipliers'!$L$3:$N$6,3,FALSE)=0,"Spatial Data Missing ⚠",VLOOKUP(J63,'G-3 Multipliers'!$L$3:$N$6,3,FALSE)))</f>
        <v>1</v>
      </c>
      <c r="M63" s="362">
        <f>IF(OR(D63="",H63=""),"",(INDEX('G-6 Hedgerow Data'!$E$3:$I$15,MATCH(D63,'G-6 Hedgerow Data'!$B$3:$B$15,0),MATCH(H63,'G-6 Hedgerow Data'!$E$2:$I$2,0))))</f>
        <v>12</v>
      </c>
      <c r="N63" s="159"/>
      <c r="O63" s="159"/>
      <c r="P63" s="370" t="str">
        <f t="shared" si="1"/>
        <v>Standard time to target condition applied</v>
      </c>
      <c r="Q63" s="383">
        <f t="shared" si="2"/>
        <v>12</v>
      </c>
      <c r="R63" s="384">
        <f t="shared" si="0"/>
        <v>0.65212036070000001</v>
      </c>
      <c r="S63" s="398" t="str">
        <f>IF(D63="","",VLOOKUP(D63,'G-6 Hedgerow Data'!$B$3:$AG$15,31,FALSE))</f>
        <v>Low</v>
      </c>
      <c r="T63" s="370" t="str">
        <f t="shared" si="3"/>
        <v>Standard difficulty applied</v>
      </c>
      <c r="U63" s="370" t="str">
        <f t="shared" si="4"/>
        <v>Low</v>
      </c>
      <c r="V63" s="386">
        <f>IF(D63="","",VLOOKUP(S63,'G-3 Multipliers'!$P$3:$Q$6,2,FALSE))</f>
        <v>1</v>
      </c>
      <c r="W63" s="390">
        <f t="shared" si="5"/>
        <v>2.0884748942652442</v>
      </c>
      <c r="X63" s="117"/>
      <c r="Y63" s="118"/>
      <c r="Z63" s="120"/>
      <c r="AG63" s="30" t="str">
        <f>IFERROR(INDEX('G-6 Hedgerow Data'!$BJ$3:$BJ$15,MATCH(D63,'G-6 Hedgerow Data'!$B$3:$B$15,0)),"")</f>
        <v>Hedgecond1</v>
      </c>
    </row>
    <row r="64" spans="2:33" ht="28.5" x14ac:dyDescent="0.2">
      <c r="B64" s="110">
        <v>53</v>
      </c>
      <c r="C64" s="167">
        <v>54</v>
      </c>
      <c r="D64" s="159" t="s">
        <v>171</v>
      </c>
      <c r="E64" s="139">
        <v>8.932021099328992E-2</v>
      </c>
      <c r="F64" s="411" t="str">
        <f>IF(D64="","",VLOOKUP(D64,'G-6 Hedgerow Data'!$B$2:$AG$15,2,FALSE))</f>
        <v>Medium</v>
      </c>
      <c r="G64" s="363">
        <f>IF(D64="","",VLOOKUP(D64,'G-6 Hedgerow Data'!$B$2:$AG$15,3,FALSE))</f>
        <v>4</v>
      </c>
      <c r="H64" s="114" t="s">
        <v>68</v>
      </c>
      <c r="I64" s="363">
        <f>IFERROR(VLOOKUP(H64,'G-1 All Habitats'!$Z$2:$AA$9,2,FALSE),"")</f>
        <v>3</v>
      </c>
      <c r="J64" s="114" t="s">
        <v>1037</v>
      </c>
      <c r="K64" s="382" t="str">
        <f>IF(J64="","",IF(VLOOKUP(J64,'G-3 Multipliers'!$L$3:$N$6,2,FALSE)=0,"Spatial Data Missing ⚠",VLOOKUP(J64,'G-3 Multipliers'!$L$3:$N$6,2,FALSE)))</f>
        <v>Low Strategic Significance</v>
      </c>
      <c r="L64" s="368">
        <f>IF(J64="","",IF(VLOOKUP(J64,'G-3 Multipliers'!$L$3:$N$6,3,FALSE)=0,"Spatial Data Missing ⚠",VLOOKUP(J64,'G-3 Multipliers'!$L$3:$N$6,3,FALSE)))</f>
        <v>1</v>
      </c>
      <c r="M64" s="362">
        <f>IF(OR(D64="",H64=""),"",(INDEX('G-6 Hedgerow Data'!$E$3:$I$15,MATCH(D64,'G-6 Hedgerow Data'!$B$3:$B$15,0),MATCH(H64,'G-6 Hedgerow Data'!$E$2:$I$2,0))))</f>
        <v>12</v>
      </c>
      <c r="N64" s="159"/>
      <c r="O64" s="159"/>
      <c r="P64" s="370" t="str">
        <f t="shared" si="1"/>
        <v>Standard time to target condition applied</v>
      </c>
      <c r="Q64" s="383">
        <f t="shared" si="2"/>
        <v>12</v>
      </c>
      <c r="R64" s="384">
        <f t="shared" si="0"/>
        <v>0.65212036070000001</v>
      </c>
      <c r="S64" s="398" t="str">
        <f>IF(D64="","",VLOOKUP(D64,'G-6 Hedgerow Data'!$B$3:$AG$15,31,FALSE))</f>
        <v>Low</v>
      </c>
      <c r="T64" s="370" t="str">
        <f t="shared" si="3"/>
        <v>Standard difficulty applied</v>
      </c>
      <c r="U64" s="370" t="str">
        <f t="shared" si="4"/>
        <v>Low</v>
      </c>
      <c r="V64" s="386">
        <f>IF(D64="","",VLOOKUP(S64,'G-3 Multipliers'!$P$3:$Q$6,2,FALSE))</f>
        <v>1</v>
      </c>
      <c r="W64" s="390">
        <f t="shared" si="5"/>
        <v>0.69897033852893198</v>
      </c>
      <c r="X64" s="117"/>
      <c r="Y64" s="118"/>
      <c r="Z64" s="120"/>
      <c r="AG64" s="30" t="str">
        <f>IFERROR(INDEX('G-6 Hedgerow Data'!$BJ$3:$BJ$15,MATCH(D64,'G-6 Hedgerow Data'!$B$3:$B$15,0)),"")</f>
        <v>Hedgecond1</v>
      </c>
    </row>
    <row r="65" spans="2:33" ht="28.5" x14ac:dyDescent="0.2">
      <c r="B65" s="110">
        <v>54</v>
      </c>
      <c r="C65" s="167">
        <v>55</v>
      </c>
      <c r="D65" s="159" t="s">
        <v>171</v>
      </c>
      <c r="E65" s="139">
        <v>0.2011293224432876</v>
      </c>
      <c r="F65" s="411" t="str">
        <f>IF(D65="","",VLOOKUP(D65,'G-6 Hedgerow Data'!$B$2:$AG$15,2,FALSE))</f>
        <v>Medium</v>
      </c>
      <c r="G65" s="363">
        <f>IF(D65="","",VLOOKUP(D65,'G-6 Hedgerow Data'!$B$2:$AG$15,3,FALSE))</f>
        <v>4</v>
      </c>
      <c r="H65" s="114" t="s">
        <v>68</v>
      </c>
      <c r="I65" s="363">
        <f>IFERROR(VLOOKUP(H65,'G-1 All Habitats'!$Z$2:$AA$9,2,FALSE),"")</f>
        <v>3</v>
      </c>
      <c r="J65" s="114" t="s">
        <v>1037</v>
      </c>
      <c r="K65" s="382" t="str">
        <f>IF(J65="","",IF(VLOOKUP(J65,'G-3 Multipliers'!$L$3:$N$6,2,FALSE)=0,"Spatial Data Missing ⚠",VLOOKUP(J65,'G-3 Multipliers'!$L$3:$N$6,2,FALSE)))</f>
        <v>Low Strategic Significance</v>
      </c>
      <c r="L65" s="368">
        <f>IF(J65="","",IF(VLOOKUP(J65,'G-3 Multipliers'!$L$3:$N$6,3,FALSE)=0,"Spatial Data Missing ⚠",VLOOKUP(J65,'G-3 Multipliers'!$L$3:$N$6,3,FALSE)))</f>
        <v>1</v>
      </c>
      <c r="M65" s="362">
        <f>IF(OR(D65="",H65=""),"",(INDEX('G-6 Hedgerow Data'!$E$3:$I$15,MATCH(D65,'G-6 Hedgerow Data'!$B$3:$B$15,0),MATCH(H65,'G-6 Hedgerow Data'!$E$2:$I$2,0))))</f>
        <v>12</v>
      </c>
      <c r="N65" s="159"/>
      <c r="O65" s="159"/>
      <c r="P65" s="370" t="str">
        <f t="shared" si="1"/>
        <v>Standard time to target condition applied</v>
      </c>
      <c r="Q65" s="383">
        <f t="shared" si="2"/>
        <v>12</v>
      </c>
      <c r="R65" s="384">
        <f t="shared" si="0"/>
        <v>0.65212036070000001</v>
      </c>
      <c r="S65" s="398" t="str">
        <f>IF(D65="","",VLOOKUP(D65,'G-6 Hedgerow Data'!$B$3:$AG$15,31,FALSE))</f>
        <v>Low</v>
      </c>
      <c r="T65" s="370" t="str">
        <f t="shared" si="3"/>
        <v>Standard difficulty applied</v>
      </c>
      <c r="U65" s="370" t="str">
        <f t="shared" si="4"/>
        <v>Low</v>
      </c>
      <c r="V65" s="386">
        <f>IF(D65="","",VLOOKUP(S65,'G-3 Multipliers'!$P$3:$Q$6,2,FALSE))</f>
        <v>1</v>
      </c>
      <c r="W65" s="390">
        <f t="shared" si="5"/>
        <v>1.5739263155887597</v>
      </c>
      <c r="X65" s="117"/>
      <c r="Y65" s="118"/>
      <c r="Z65" s="120"/>
      <c r="AG65" s="30" t="str">
        <f>IFERROR(INDEX('G-6 Hedgerow Data'!$BJ$3:$BJ$15,MATCH(D65,'G-6 Hedgerow Data'!$B$3:$B$15,0)),"")</f>
        <v>Hedgecond1</v>
      </c>
    </row>
    <row r="66" spans="2:33" ht="28.5" x14ac:dyDescent="0.2">
      <c r="B66" s="110">
        <v>55</v>
      </c>
      <c r="C66" s="167">
        <v>56</v>
      </c>
      <c r="D66" s="159" t="s">
        <v>171</v>
      </c>
      <c r="E66" s="139">
        <v>0.20366829858809291</v>
      </c>
      <c r="F66" s="411" t="str">
        <f>IF(D66="","",VLOOKUP(D66,'G-6 Hedgerow Data'!$B$2:$AG$15,2,FALSE))</f>
        <v>Medium</v>
      </c>
      <c r="G66" s="363">
        <f>IF(D66="","",VLOOKUP(D66,'G-6 Hedgerow Data'!$B$2:$AG$15,3,FALSE))</f>
        <v>4</v>
      </c>
      <c r="H66" s="114" t="s">
        <v>68</v>
      </c>
      <c r="I66" s="363">
        <f>IFERROR(VLOOKUP(H66,'G-1 All Habitats'!$Z$2:$AA$9,2,FALSE),"")</f>
        <v>3</v>
      </c>
      <c r="J66" s="114" t="s">
        <v>1037</v>
      </c>
      <c r="K66" s="382" t="str">
        <f>IF(J66="","",IF(VLOOKUP(J66,'G-3 Multipliers'!$L$3:$N$6,2,FALSE)=0,"Spatial Data Missing ⚠",VLOOKUP(J66,'G-3 Multipliers'!$L$3:$N$6,2,FALSE)))</f>
        <v>Low Strategic Significance</v>
      </c>
      <c r="L66" s="368">
        <f>IF(J66="","",IF(VLOOKUP(J66,'G-3 Multipliers'!$L$3:$N$6,3,FALSE)=0,"Spatial Data Missing ⚠",VLOOKUP(J66,'G-3 Multipliers'!$L$3:$N$6,3,FALSE)))</f>
        <v>1</v>
      </c>
      <c r="M66" s="362">
        <f>IF(OR(D66="",H66=""),"",(INDEX('G-6 Hedgerow Data'!$E$3:$I$15,MATCH(D66,'G-6 Hedgerow Data'!$B$3:$B$15,0),MATCH(H66,'G-6 Hedgerow Data'!$E$2:$I$2,0))))</f>
        <v>12</v>
      </c>
      <c r="N66" s="159"/>
      <c r="O66" s="159"/>
      <c r="P66" s="370" t="str">
        <f t="shared" si="1"/>
        <v>Standard time to target condition applied</v>
      </c>
      <c r="Q66" s="383">
        <f t="shared" si="2"/>
        <v>12</v>
      </c>
      <c r="R66" s="384">
        <f t="shared" si="0"/>
        <v>0.65212036070000001</v>
      </c>
      <c r="S66" s="398" t="str">
        <f>IF(D66="","",VLOOKUP(D66,'G-6 Hedgerow Data'!$B$3:$AG$15,31,FALSE))</f>
        <v>Low</v>
      </c>
      <c r="T66" s="370" t="str">
        <f t="shared" si="3"/>
        <v>Standard difficulty applied</v>
      </c>
      <c r="U66" s="370" t="str">
        <f t="shared" si="4"/>
        <v>Low</v>
      </c>
      <c r="V66" s="386">
        <f>IF(D66="","",VLOOKUP(S66,'G-3 Multipliers'!$P$3:$Q$6,2,FALSE))</f>
        <v>1</v>
      </c>
      <c r="W66" s="390">
        <f t="shared" si="5"/>
        <v>1.5937949320610694</v>
      </c>
      <c r="X66" s="117"/>
      <c r="Y66" s="118"/>
      <c r="Z66" s="120"/>
      <c r="AG66" s="30" t="str">
        <f>IFERROR(INDEX('G-6 Hedgerow Data'!$BJ$3:$BJ$15,MATCH(D66,'G-6 Hedgerow Data'!$B$3:$B$15,0)),"")</f>
        <v>Hedgecond1</v>
      </c>
    </row>
    <row r="67" spans="2:33" ht="28.5" x14ac:dyDescent="0.2">
      <c r="B67" s="110">
        <v>56</v>
      </c>
      <c r="C67" s="167">
        <v>58</v>
      </c>
      <c r="D67" s="159" t="s">
        <v>171</v>
      </c>
      <c r="E67" s="139">
        <v>0.1600123804690709</v>
      </c>
      <c r="F67" s="411" t="str">
        <f>IF(D67="","",VLOOKUP(D67,'G-6 Hedgerow Data'!$B$2:$AG$15,2,FALSE))</f>
        <v>Medium</v>
      </c>
      <c r="G67" s="363">
        <f>IF(D67="","",VLOOKUP(D67,'G-6 Hedgerow Data'!$B$2:$AG$15,3,FALSE))</f>
        <v>4</v>
      </c>
      <c r="H67" s="114" t="s">
        <v>68</v>
      </c>
      <c r="I67" s="363">
        <f>IFERROR(VLOOKUP(H67,'G-1 All Habitats'!$Z$2:$AA$9,2,FALSE),"")</f>
        <v>3</v>
      </c>
      <c r="J67" s="114" t="s">
        <v>1037</v>
      </c>
      <c r="K67" s="382" t="str">
        <f>IF(J67="","",IF(VLOOKUP(J67,'G-3 Multipliers'!$L$3:$N$6,2,FALSE)=0,"Spatial Data Missing ⚠",VLOOKUP(J67,'G-3 Multipliers'!$L$3:$N$6,2,FALSE)))</f>
        <v>Low Strategic Significance</v>
      </c>
      <c r="L67" s="368">
        <f>IF(J67="","",IF(VLOOKUP(J67,'G-3 Multipliers'!$L$3:$N$6,3,FALSE)=0,"Spatial Data Missing ⚠",VLOOKUP(J67,'G-3 Multipliers'!$L$3:$N$6,3,FALSE)))</f>
        <v>1</v>
      </c>
      <c r="M67" s="362">
        <f>IF(OR(D67="",H67=""),"",(INDEX('G-6 Hedgerow Data'!$E$3:$I$15,MATCH(D67,'G-6 Hedgerow Data'!$B$3:$B$15,0),MATCH(H67,'G-6 Hedgerow Data'!$E$2:$I$2,0))))</f>
        <v>12</v>
      </c>
      <c r="N67" s="159"/>
      <c r="O67" s="159"/>
      <c r="P67" s="370" t="str">
        <f t="shared" si="1"/>
        <v>Standard time to target condition applied</v>
      </c>
      <c r="Q67" s="383">
        <f t="shared" si="2"/>
        <v>12</v>
      </c>
      <c r="R67" s="384">
        <f t="shared" si="0"/>
        <v>0.65212036070000001</v>
      </c>
      <c r="S67" s="398" t="str">
        <f>IF(D67="","",VLOOKUP(D67,'G-6 Hedgerow Data'!$B$3:$AG$15,31,FALSE))</f>
        <v>Low</v>
      </c>
      <c r="T67" s="370" t="str">
        <f t="shared" si="3"/>
        <v>Standard difficulty applied</v>
      </c>
      <c r="U67" s="370" t="str">
        <f t="shared" si="4"/>
        <v>Low</v>
      </c>
      <c r="V67" s="386">
        <f>IF(D67="","",VLOOKUP(S67,'G-3 Multipliers'!$P$3:$Q$6,2,FALSE))</f>
        <v>1</v>
      </c>
      <c r="W67" s="390">
        <f t="shared" si="5"/>
        <v>1.252167975215474</v>
      </c>
      <c r="X67" s="117"/>
      <c r="Y67" s="118"/>
      <c r="Z67" s="120"/>
      <c r="AG67" s="30" t="str">
        <f>IFERROR(INDEX('G-6 Hedgerow Data'!$BJ$3:$BJ$15,MATCH(D67,'G-6 Hedgerow Data'!$B$3:$B$15,0)),"")</f>
        <v>Hedgecond1</v>
      </c>
    </row>
    <row r="68" spans="2:33" ht="28.5" x14ac:dyDescent="0.2">
      <c r="B68" s="110">
        <v>57</v>
      </c>
      <c r="C68" s="167">
        <v>59</v>
      </c>
      <c r="D68" s="159" t="s">
        <v>171</v>
      </c>
      <c r="E68" s="139">
        <v>0.60439796989602423</v>
      </c>
      <c r="F68" s="411" t="str">
        <f>IF(D68="","",VLOOKUP(D68,'G-6 Hedgerow Data'!$B$2:$AG$15,2,FALSE))</f>
        <v>Medium</v>
      </c>
      <c r="G68" s="363">
        <f>IF(D68="","",VLOOKUP(D68,'G-6 Hedgerow Data'!$B$2:$AG$15,3,FALSE))</f>
        <v>4</v>
      </c>
      <c r="H68" s="114" t="s">
        <v>68</v>
      </c>
      <c r="I68" s="363">
        <f>IFERROR(VLOOKUP(H68,'G-1 All Habitats'!$Z$2:$AA$9,2,FALSE),"")</f>
        <v>3</v>
      </c>
      <c r="J68" s="114" t="s">
        <v>1037</v>
      </c>
      <c r="K68" s="382" t="str">
        <f>IF(J68="","",IF(VLOOKUP(J68,'G-3 Multipliers'!$L$3:$N$6,2,FALSE)=0,"Spatial Data Missing ⚠",VLOOKUP(J68,'G-3 Multipliers'!$L$3:$N$6,2,FALSE)))</f>
        <v>Low Strategic Significance</v>
      </c>
      <c r="L68" s="368">
        <f>IF(J68="","",IF(VLOOKUP(J68,'G-3 Multipliers'!$L$3:$N$6,3,FALSE)=0,"Spatial Data Missing ⚠",VLOOKUP(J68,'G-3 Multipliers'!$L$3:$N$6,3,FALSE)))</f>
        <v>1</v>
      </c>
      <c r="M68" s="362">
        <f>IF(OR(D68="",H68=""),"",(INDEX('G-6 Hedgerow Data'!$E$3:$I$15,MATCH(D68,'G-6 Hedgerow Data'!$B$3:$B$15,0),MATCH(H68,'G-6 Hedgerow Data'!$E$2:$I$2,0))))</f>
        <v>12</v>
      </c>
      <c r="N68" s="159"/>
      <c r="O68" s="159"/>
      <c r="P68" s="370" t="str">
        <f t="shared" si="1"/>
        <v>Standard time to target condition applied</v>
      </c>
      <c r="Q68" s="383">
        <f t="shared" si="2"/>
        <v>12</v>
      </c>
      <c r="R68" s="384">
        <f t="shared" si="0"/>
        <v>0.65212036070000001</v>
      </c>
      <c r="S68" s="398" t="str">
        <f>IF(D68="","",VLOOKUP(D68,'G-6 Hedgerow Data'!$B$3:$AG$15,31,FALSE))</f>
        <v>Low</v>
      </c>
      <c r="T68" s="370" t="str">
        <f t="shared" si="3"/>
        <v>Standard difficulty applied</v>
      </c>
      <c r="U68" s="370" t="str">
        <f t="shared" si="4"/>
        <v>Low</v>
      </c>
      <c r="V68" s="386">
        <f>IF(D68="","",VLOOKUP(S68,'G-3 Multipliers'!$P$3:$Q$6,2,FALSE))</f>
        <v>1</v>
      </c>
      <c r="W68" s="390">
        <f t="shared" si="5"/>
        <v>4.7296826656193165</v>
      </c>
      <c r="X68" s="117"/>
      <c r="Y68" s="118"/>
      <c r="Z68" s="120"/>
      <c r="AG68" s="30" t="str">
        <f>IFERROR(INDEX('G-6 Hedgerow Data'!$BJ$3:$BJ$15,MATCH(D68,'G-6 Hedgerow Data'!$B$3:$B$15,0)),"")</f>
        <v>Hedgecond1</v>
      </c>
    </row>
    <row r="69" spans="2:33" ht="28.5" x14ac:dyDescent="0.2">
      <c r="B69" s="110">
        <v>58</v>
      </c>
      <c r="C69" s="167">
        <v>60</v>
      </c>
      <c r="D69" s="159" t="s">
        <v>171</v>
      </c>
      <c r="E69" s="139">
        <v>0.25199078578894912</v>
      </c>
      <c r="F69" s="411" t="str">
        <f>IF(D69="","",VLOOKUP(D69,'G-6 Hedgerow Data'!$B$2:$AG$15,2,FALSE))</f>
        <v>Medium</v>
      </c>
      <c r="G69" s="363">
        <f>IF(D69="","",VLOOKUP(D69,'G-6 Hedgerow Data'!$B$2:$AG$15,3,FALSE))</f>
        <v>4</v>
      </c>
      <c r="H69" s="114" t="s">
        <v>68</v>
      </c>
      <c r="I69" s="363">
        <f>IFERROR(VLOOKUP(H69,'G-1 All Habitats'!$Z$2:$AA$9,2,FALSE),"")</f>
        <v>3</v>
      </c>
      <c r="J69" s="114" t="s">
        <v>1037</v>
      </c>
      <c r="K69" s="382" t="str">
        <f>IF(J69="","",IF(VLOOKUP(J69,'G-3 Multipliers'!$L$3:$N$6,2,FALSE)=0,"Spatial Data Missing ⚠",VLOOKUP(J69,'G-3 Multipliers'!$L$3:$N$6,2,FALSE)))</f>
        <v>Low Strategic Significance</v>
      </c>
      <c r="L69" s="368">
        <f>IF(J69="","",IF(VLOOKUP(J69,'G-3 Multipliers'!$L$3:$N$6,3,FALSE)=0,"Spatial Data Missing ⚠",VLOOKUP(J69,'G-3 Multipliers'!$L$3:$N$6,3,FALSE)))</f>
        <v>1</v>
      </c>
      <c r="M69" s="362">
        <f>IF(OR(D69="",H69=""),"",(INDEX('G-6 Hedgerow Data'!$E$3:$I$15,MATCH(D69,'G-6 Hedgerow Data'!$B$3:$B$15,0),MATCH(H69,'G-6 Hedgerow Data'!$E$2:$I$2,0))))</f>
        <v>12</v>
      </c>
      <c r="N69" s="159"/>
      <c r="O69" s="159"/>
      <c r="P69" s="370" t="str">
        <f t="shared" si="1"/>
        <v>Standard time to target condition applied</v>
      </c>
      <c r="Q69" s="383">
        <f t="shared" si="2"/>
        <v>12</v>
      </c>
      <c r="R69" s="384">
        <f t="shared" si="0"/>
        <v>0.65212036070000001</v>
      </c>
      <c r="S69" s="398" t="str">
        <f>IF(D69="","",VLOOKUP(D69,'G-6 Hedgerow Data'!$B$3:$AG$15,31,FALSE))</f>
        <v>Low</v>
      </c>
      <c r="T69" s="370" t="str">
        <f t="shared" si="3"/>
        <v>Standard difficulty applied</v>
      </c>
      <c r="U69" s="370" t="str">
        <f t="shared" si="4"/>
        <v>Low</v>
      </c>
      <c r="V69" s="386">
        <f>IF(D69="","",VLOOKUP(S69,'G-3 Multipliers'!$P$3:$Q$6,2,FALSE))</f>
        <v>1</v>
      </c>
      <c r="W69" s="390">
        <f t="shared" si="5"/>
        <v>1.971939865461191</v>
      </c>
      <c r="X69" s="117"/>
      <c r="Y69" s="118"/>
      <c r="Z69" s="120"/>
      <c r="AG69" s="30" t="str">
        <f>IFERROR(INDEX('G-6 Hedgerow Data'!$BJ$3:$BJ$15,MATCH(D69,'G-6 Hedgerow Data'!$B$3:$B$15,0)),"")</f>
        <v>Hedgecond1</v>
      </c>
    </row>
    <row r="70" spans="2:33" ht="28.5" x14ac:dyDescent="0.2">
      <c r="B70" s="110">
        <v>59</v>
      </c>
      <c r="C70" s="167">
        <v>61</v>
      </c>
      <c r="D70" s="159" t="s">
        <v>171</v>
      </c>
      <c r="E70" s="139">
        <v>0.24291900791943088</v>
      </c>
      <c r="F70" s="411" t="str">
        <f>IF(D70="","",VLOOKUP(D70,'G-6 Hedgerow Data'!$B$2:$AG$15,2,FALSE))</f>
        <v>Medium</v>
      </c>
      <c r="G70" s="363">
        <f>IF(D70="","",VLOOKUP(D70,'G-6 Hedgerow Data'!$B$2:$AG$15,3,FALSE))</f>
        <v>4</v>
      </c>
      <c r="H70" s="114" t="s">
        <v>68</v>
      </c>
      <c r="I70" s="363">
        <f>IFERROR(VLOOKUP(H70,'G-1 All Habitats'!$Z$2:$AA$9,2,FALSE),"")</f>
        <v>3</v>
      </c>
      <c r="J70" s="114" t="s">
        <v>1037</v>
      </c>
      <c r="K70" s="382" t="str">
        <f>IF(J70="","",IF(VLOOKUP(J70,'G-3 Multipliers'!$L$3:$N$6,2,FALSE)=0,"Spatial Data Missing ⚠",VLOOKUP(J70,'G-3 Multipliers'!$L$3:$N$6,2,FALSE)))</f>
        <v>Low Strategic Significance</v>
      </c>
      <c r="L70" s="368">
        <f>IF(J70="","",IF(VLOOKUP(J70,'G-3 Multipliers'!$L$3:$N$6,3,FALSE)=0,"Spatial Data Missing ⚠",VLOOKUP(J70,'G-3 Multipliers'!$L$3:$N$6,3,FALSE)))</f>
        <v>1</v>
      </c>
      <c r="M70" s="362">
        <f>IF(OR(D70="",H70=""),"",(INDEX('G-6 Hedgerow Data'!$E$3:$I$15,MATCH(D70,'G-6 Hedgerow Data'!$B$3:$B$15,0),MATCH(H70,'G-6 Hedgerow Data'!$E$2:$I$2,0))))</f>
        <v>12</v>
      </c>
      <c r="N70" s="159"/>
      <c r="O70" s="159"/>
      <c r="P70" s="370" t="str">
        <f t="shared" si="1"/>
        <v>Standard time to target condition applied</v>
      </c>
      <c r="Q70" s="383">
        <f t="shared" si="2"/>
        <v>12</v>
      </c>
      <c r="R70" s="384">
        <f t="shared" si="0"/>
        <v>0.65212036070000001</v>
      </c>
      <c r="S70" s="398" t="str">
        <f>IF(D70="","",VLOOKUP(D70,'G-6 Hedgerow Data'!$B$3:$AG$15,31,FALSE))</f>
        <v>Low</v>
      </c>
      <c r="T70" s="370" t="str">
        <f t="shared" si="3"/>
        <v>Standard difficulty applied</v>
      </c>
      <c r="U70" s="370" t="str">
        <f t="shared" si="4"/>
        <v>Low</v>
      </c>
      <c r="V70" s="386">
        <f>IF(D70="","",VLOOKUP(S70,'G-3 Multipliers'!$P$3:$Q$6,2,FALSE))</f>
        <v>1</v>
      </c>
      <c r="W70" s="390">
        <f t="shared" si="5"/>
        <v>1.9009491727836652</v>
      </c>
      <c r="X70" s="117"/>
      <c r="Y70" s="118"/>
      <c r="Z70" s="120"/>
      <c r="AG70" s="30" t="str">
        <f>IFERROR(INDEX('G-6 Hedgerow Data'!$BJ$3:$BJ$15,MATCH(D70,'G-6 Hedgerow Data'!$B$3:$B$15,0)),"")</f>
        <v>Hedgecond1</v>
      </c>
    </row>
    <row r="71" spans="2:33" ht="28.5" x14ac:dyDescent="0.2">
      <c r="B71" s="110">
        <v>60</v>
      </c>
      <c r="C71" s="167">
        <v>62</v>
      </c>
      <c r="D71" s="159" t="s">
        <v>171</v>
      </c>
      <c r="E71" s="139">
        <v>0.17923466910787889</v>
      </c>
      <c r="F71" s="411" t="str">
        <f>IF(D71="","",VLOOKUP(D71,'G-6 Hedgerow Data'!$B$2:$AG$15,2,FALSE))</f>
        <v>Medium</v>
      </c>
      <c r="G71" s="363">
        <f>IF(D71="","",VLOOKUP(D71,'G-6 Hedgerow Data'!$B$2:$AG$15,3,FALSE))</f>
        <v>4</v>
      </c>
      <c r="H71" s="114" t="s">
        <v>68</v>
      </c>
      <c r="I71" s="363">
        <f>IFERROR(VLOOKUP(H71,'G-1 All Habitats'!$Z$2:$AA$9,2,FALSE),"")</f>
        <v>3</v>
      </c>
      <c r="J71" s="114" t="s">
        <v>1037</v>
      </c>
      <c r="K71" s="382" t="str">
        <f>IF(J71="","",IF(VLOOKUP(J71,'G-3 Multipliers'!$L$3:$N$6,2,FALSE)=0,"Spatial Data Missing ⚠",VLOOKUP(J71,'G-3 Multipliers'!$L$3:$N$6,2,FALSE)))</f>
        <v>Low Strategic Significance</v>
      </c>
      <c r="L71" s="368">
        <f>IF(J71="","",IF(VLOOKUP(J71,'G-3 Multipliers'!$L$3:$N$6,3,FALSE)=0,"Spatial Data Missing ⚠",VLOOKUP(J71,'G-3 Multipliers'!$L$3:$N$6,3,FALSE)))</f>
        <v>1</v>
      </c>
      <c r="M71" s="362">
        <f>IF(OR(D71="",H71=""),"",(INDEX('G-6 Hedgerow Data'!$E$3:$I$15,MATCH(D71,'G-6 Hedgerow Data'!$B$3:$B$15,0),MATCH(H71,'G-6 Hedgerow Data'!$E$2:$I$2,0))))</f>
        <v>12</v>
      </c>
      <c r="N71" s="159"/>
      <c r="O71" s="159"/>
      <c r="P71" s="370" t="str">
        <f t="shared" si="1"/>
        <v>Standard time to target condition applied</v>
      </c>
      <c r="Q71" s="383">
        <f t="shared" si="2"/>
        <v>12</v>
      </c>
      <c r="R71" s="384">
        <f t="shared" si="0"/>
        <v>0.65212036070000001</v>
      </c>
      <c r="S71" s="398" t="str">
        <f>IF(D71="","",VLOOKUP(D71,'G-6 Hedgerow Data'!$B$3:$AG$15,31,FALSE))</f>
        <v>Low</v>
      </c>
      <c r="T71" s="370" t="str">
        <f t="shared" si="3"/>
        <v>Standard difficulty applied</v>
      </c>
      <c r="U71" s="370" t="str">
        <f t="shared" si="4"/>
        <v>Low</v>
      </c>
      <c r="V71" s="386">
        <f>IF(D71="","",VLOOKUP(S71,'G-3 Multipliers'!$P$3:$Q$6,2,FALSE))</f>
        <v>1</v>
      </c>
      <c r="W71" s="390">
        <f t="shared" si="5"/>
        <v>1.4025909248229016</v>
      </c>
      <c r="X71" s="117"/>
      <c r="Y71" s="118"/>
      <c r="Z71" s="120"/>
      <c r="AG71" s="30" t="str">
        <f>IFERROR(INDEX('G-6 Hedgerow Data'!$BJ$3:$BJ$15,MATCH(D71,'G-6 Hedgerow Data'!$B$3:$B$15,0)),"")</f>
        <v>Hedgecond1</v>
      </c>
    </row>
    <row r="72" spans="2:33" ht="28.5" x14ac:dyDescent="0.2">
      <c r="B72" s="110">
        <v>61</v>
      </c>
      <c r="C72" s="167">
        <v>63</v>
      </c>
      <c r="D72" s="159" t="s">
        <v>171</v>
      </c>
      <c r="E72" s="139">
        <v>0.1782667994216553</v>
      </c>
      <c r="F72" s="411" t="str">
        <f>IF(D72="","",VLOOKUP(D72,'G-6 Hedgerow Data'!$B$2:$AG$15,2,FALSE))</f>
        <v>Medium</v>
      </c>
      <c r="G72" s="363">
        <f>IF(D72="","",VLOOKUP(D72,'G-6 Hedgerow Data'!$B$2:$AG$15,3,FALSE))</f>
        <v>4</v>
      </c>
      <c r="H72" s="114" t="s">
        <v>68</v>
      </c>
      <c r="I72" s="363">
        <f>IFERROR(VLOOKUP(H72,'G-1 All Habitats'!$Z$2:$AA$9,2,FALSE),"")</f>
        <v>3</v>
      </c>
      <c r="J72" s="114" t="s">
        <v>1037</v>
      </c>
      <c r="K72" s="382" t="str">
        <f>IF(J72="","",IF(VLOOKUP(J72,'G-3 Multipliers'!$L$3:$N$6,2,FALSE)=0,"Spatial Data Missing ⚠",VLOOKUP(J72,'G-3 Multipliers'!$L$3:$N$6,2,FALSE)))</f>
        <v>Low Strategic Significance</v>
      </c>
      <c r="L72" s="368">
        <f>IF(J72="","",IF(VLOOKUP(J72,'G-3 Multipliers'!$L$3:$N$6,3,FALSE)=0,"Spatial Data Missing ⚠",VLOOKUP(J72,'G-3 Multipliers'!$L$3:$N$6,3,FALSE)))</f>
        <v>1</v>
      </c>
      <c r="M72" s="362">
        <f>IF(OR(D72="",H72=""),"",(INDEX('G-6 Hedgerow Data'!$E$3:$I$15,MATCH(D72,'G-6 Hedgerow Data'!$B$3:$B$15,0),MATCH(H72,'G-6 Hedgerow Data'!$E$2:$I$2,0))))</f>
        <v>12</v>
      </c>
      <c r="N72" s="159"/>
      <c r="O72" s="159"/>
      <c r="P72" s="370" t="str">
        <f t="shared" si="1"/>
        <v>Standard time to target condition applied</v>
      </c>
      <c r="Q72" s="383">
        <f t="shared" si="2"/>
        <v>12</v>
      </c>
      <c r="R72" s="384">
        <f t="shared" si="0"/>
        <v>0.65212036070000001</v>
      </c>
      <c r="S72" s="398" t="str">
        <f>IF(D72="","",VLOOKUP(D72,'G-6 Hedgerow Data'!$B$3:$AG$15,31,FALSE))</f>
        <v>Low</v>
      </c>
      <c r="T72" s="370" t="str">
        <f t="shared" si="3"/>
        <v>Standard difficulty applied</v>
      </c>
      <c r="U72" s="370" t="str">
        <f t="shared" si="4"/>
        <v>Low</v>
      </c>
      <c r="V72" s="386">
        <f>IF(D72="","",VLOOKUP(S72,'G-3 Multipliers'!$P$3:$Q$6,2,FALSE))</f>
        <v>1</v>
      </c>
      <c r="W72" s="390">
        <f t="shared" si="5"/>
        <v>1.3950169144762128</v>
      </c>
      <c r="X72" s="117"/>
      <c r="Y72" s="118"/>
      <c r="Z72" s="120"/>
      <c r="AG72" s="30" t="str">
        <f>IFERROR(INDEX('G-6 Hedgerow Data'!$BJ$3:$BJ$15,MATCH(D72,'G-6 Hedgerow Data'!$B$3:$B$15,0)),"")</f>
        <v>Hedgecond1</v>
      </c>
    </row>
    <row r="73" spans="2:33" ht="28.5" x14ac:dyDescent="0.2">
      <c r="B73" s="110">
        <v>62</v>
      </c>
      <c r="C73" s="167">
        <v>64</v>
      </c>
      <c r="D73" s="159" t="s">
        <v>171</v>
      </c>
      <c r="E73" s="139">
        <v>0.21344858728709512</v>
      </c>
      <c r="F73" s="411" t="str">
        <f>IF(D73="","",VLOOKUP(D73,'G-6 Hedgerow Data'!$B$2:$AG$15,2,FALSE))</f>
        <v>Medium</v>
      </c>
      <c r="G73" s="363">
        <f>IF(D73="","",VLOOKUP(D73,'G-6 Hedgerow Data'!$B$2:$AG$15,3,FALSE))</f>
        <v>4</v>
      </c>
      <c r="H73" s="114" t="s">
        <v>68</v>
      </c>
      <c r="I73" s="363">
        <f>IFERROR(VLOOKUP(H73,'G-1 All Habitats'!$Z$2:$AA$9,2,FALSE),"")</f>
        <v>3</v>
      </c>
      <c r="J73" s="114" t="s">
        <v>1037</v>
      </c>
      <c r="K73" s="382" t="str">
        <f>IF(J73="","",IF(VLOOKUP(J73,'G-3 Multipliers'!$L$3:$N$6,2,FALSE)=0,"Spatial Data Missing ⚠",VLOOKUP(J73,'G-3 Multipliers'!$L$3:$N$6,2,FALSE)))</f>
        <v>Low Strategic Significance</v>
      </c>
      <c r="L73" s="368">
        <f>IF(J73="","",IF(VLOOKUP(J73,'G-3 Multipliers'!$L$3:$N$6,3,FALSE)=0,"Spatial Data Missing ⚠",VLOOKUP(J73,'G-3 Multipliers'!$L$3:$N$6,3,FALSE)))</f>
        <v>1</v>
      </c>
      <c r="M73" s="362">
        <f>IF(OR(D73="",H73=""),"",(INDEX('G-6 Hedgerow Data'!$E$3:$I$15,MATCH(D73,'G-6 Hedgerow Data'!$B$3:$B$15,0),MATCH(H73,'G-6 Hedgerow Data'!$E$2:$I$2,0))))</f>
        <v>12</v>
      </c>
      <c r="N73" s="159"/>
      <c r="O73" s="159"/>
      <c r="P73" s="370" t="str">
        <f t="shared" si="1"/>
        <v>Standard time to target condition applied</v>
      </c>
      <c r="Q73" s="383">
        <f t="shared" si="2"/>
        <v>12</v>
      </c>
      <c r="R73" s="384">
        <f t="shared" si="0"/>
        <v>0.65212036070000001</v>
      </c>
      <c r="S73" s="398" t="str">
        <f>IF(D73="","",VLOOKUP(D73,'G-6 Hedgerow Data'!$B$3:$AG$15,31,FALSE))</f>
        <v>Low</v>
      </c>
      <c r="T73" s="370" t="str">
        <f t="shared" si="3"/>
        <v>Standard difficulty applied</v>
      </c>
      <c r="U73" s="370" t="str">
        <f t="shared" si="4"/>
        <v>Low</v>
      </c>
      <c r="V73" s="386">
        <f>IF(D73="","",VLOOKUP(S73,'G-3 Multipliers'!$P$3:$Q$6,2,FALSE))</f>
        <v>1</v>
      </c>
      <c r="W73" s="390">
        <f t="shared" si="5"/>
        <v>1.6703300367907907</v>
      </c>
      <c r="X73" s="117"/>
      <c r="Y73" s="118"/>
      <c r="Z73" s="120"/>
      <c r="AG73" s="30" t="str">
        <f>IFERROR(INDEX('G-6 Hedgerow Data'!$BJ$3:$BJ$15,MATCH(D73,'G-6 Hedgerow Data'!$B$3:$B$15,0)),"")</f>
        <v>Hedgecond1</v>
      </c>
    </row>
    <row r="74" spans="2:33" ht="28.5" x14ac:dyDescent="0.2">
      <c r="B74" s="110">
        <v>63</v>
      </c>
      <c r="C74" s="167">
        <v>65</v>
      </c>
      <c r="D74" s="159" t="s">
        <v>171</v>
      </c>
      <c r="E74" s="139">
        <v>0.18406025489519301</v>
      </c>
      <c r="F74" s="411" t="str">
        <f>IF(D74="","",VLOOKUP(D74,'G-6 Hedgerow Data'!$B$2:$AG$15,2,FALSE))</f>
        <v>Medium</v>
      </c>
      <c r="G74" s="363">
        <f>IF(D74="","",VLOOKUP(D74,'G-6 Hedgerow Data'!$B$2:$AG$15,3,FALSE))</f>
        <v>4</v>
      </c>
      <c r="H74" s="114" t="s">
        <v>68</v>
      </c>
      <c r="I74" s="363">
        <f>IFERROR(VLOOKUP(H74,'G-1 All Habitats'!$Z$2:$AA$9,2,FALSE),"")</f>
        <v>3</v>
      </c>
      <c r="J74" s="114" t="s">
        <v>1037</v>
      </c>
      <c r="K74" s="382" t="str">
        <f>IF(J74="","",IF(VLOOKUP(J74,'G-3 Multipliers'!$L$3:$N$6,2,FALSE)=0,"Spatial Data Missing ⚠",VLOOKUP(J74,'G-3 Multipliers'!$L$3:$N$6,2,FALSE)))</f>
        <v>Low Strategic Significance</v>
      </c>
      <c r="L74" s="368">
        <f>IF(J74="","",IF(VLOOKUP(J74,'G-3 Multipliers'!$L$3:$N$6,3,FALSE)=0,"Spatial Data Missing ⚠",VLOOKUP(J74,'G-3 Multipliers'!$L$3:$N$6,3,FALSE)))</f>
        <v>1</v>
      </c>
      <c r="M74" s="362">
        <f>IF(OR(D74="",H74=""),"",(INDEX('G-6 Hedgerow Data'!$E$3:$I$15,MATCH(D74,'G-6 Hedgerow Data'!$B$3:$B$15,0),MATCH(H74,'G-6 Hedgerow Data'!$E$2:$I$2,0))))</f>
        <v>12</v>
      </c>
      <c r="N74" s="159"/>
      <c r="O74" s="159"/>
      <c r="P74" s="370" t="str">
        <f t="shared" si="1"/>
        <v>Standard time to target condition applied</v>
      </c>
      <c r="Q74" s="383">
        <f t="shared" si="2"/>
        <v>12</v>
      </c>
      <c r="R74" s="384">
        <f t="shared" si="0"/>
        <v>0.65212036070000001</v>
      </c>
      <c r="S74" s="398" t="str">
        <f>IF(D74="","",VLOOKUP(D74,'G-6 Hedgerow Data'!$B$3:$AG$15,31,FALSE))</f>
        <v>Low</v>
      </c>
      <c r="T74" s="370" t="str">
        <f t="shared" si="3"/>
        <v>Standard difficulty applied</v>
      </c>
      <c r="U74" s="370" t="str">
        <f t="shared" si="4"/>
        <v>Low</v>
      </c>
      <c r="V74" s="386">
        <f>IF(D74="","",VLOOKUP(S74,'G-3 Multipliers'!$P$3:$Q$6,2,FALSE))</f>
        <v>1</v>
      </c>
      <c r="W74" s="390">
        <f t="shared" si="5"/>
        <v>1.4403532777534465</v>
      </c>
      <c r="X74" s="117"/>
      <c r="Y74" s="118"/>
      <c r="Z74" s="120"/>
      <c r="AG74" s="30" t="str">
        <f>IFERROR(INDEX('G-6 Hedgerow Data'!$BJ$3:$BJ$15,MATCH(D74,'G-6 Hedgerow Data'!$B$3:$B$15,0)),"")</f>
        <v>Hedgecond1</v>
      </c>
    </row>
    <row r="75" spans="2:33" ht="28.5" x14ac:dyDescent="0.2">
      <c r="B75" s="110">
        <v>64</v>
      </c>
      <c r="C75" s="167">
        <v>66</v>
      </c>
      <c r="D75" s="159" t="s">
        <v>171</v>
      </c>
      <c r="E75" s="139">
        <v>0.1037842587625785</v>
      </c>
      <c r="F75" s="411" t="str">
        <f>IF(D75="","",VLOOKUP(D75,'G-6 Hedgerow Data'!$B$2:$AG$15,2,FALSE))</f>
        <v>Medium</v>
      </c>
      <c r="G75" s="363">
        <f>IF(D75="","",VLOOKUP(D75,'G-6 Hedgerow Data'!$B$2:$AG$15,3,FALSE))</f>
        <v>4</v>
      </c>
      <c r="H75" s="114" t="s">
        <v>68</v>
      </c>
      <c r="I75" s="363">
        <f>IFERROR(VLOOKUP(H75,'G-1 All Habitats'!$Z$2:$AA$9,2,FALSE),"")</f>
        <v>3</v>
      </c>
      <c r="J75" s="114" t="s">
        <v>1037</v>
      </c>
      <c r="K75" s="382" t="str">
        <f>IF(J75="","",IF(VLOOKUP(J75,'G-3 Multipliers'!$L$3:$N$6,2,FALSE)=0,"Spatial Data Missing ⚠",VLOOKUP(J75,'G-3 Multipliers'!$L$3:$N$6,2,FALSE)))</f>
        <v>Low Strategic Significance</v>
      </c>
      <c r="L75" s="368">
        <f>IF(J75="","",IF(VLOOKUP(J75,'G-3 Multipliers'!$L$3:$N$6,3,FALSE)=0,"Spatial Data Missing ⚠",VLOOKUP(J75,'G-3 Multipliers'!$L$3:$N$6,3,FALSE)))</f>
        <v>1</v>
      </c>
      <c r="M75" s="362">
        <f>IF(OR(D75="",H75=""),"",(INDEX('G-6 Hedgerow Data'!$E$3:$I$15,MATCH(D75,'G-6 Hedgerow Data'!$B$3:$B$15,0),MATCH(H75,'G-6 Hedgerow Data'!$E$2:$I$2,0))))</f>
        <v>12</v>
      </c>
      <c r="N75" s="159"/>
      <c r="O75" s="159"/>
      <c r="P75" s="370" t="str">
        <f t="shared" si="1"/>
        <v>Standard time to target condition applied</v>
      </c>
      <c r="Q75" s="383">
        <f t="shared" si="2"/>
        <v>12</v>
      </c>
      <c r="R75" s="384">
        <f t="shared" si="0"/>
        <v>0.65212036070000001</v>
      </c>
      <c r="S75" s="398" t="str">
        <f>IF(D75="","",VLOOKUP(D75,'G-6 Hedgerow Data'!$B$3:$AG$15,31,FALSE))</f>
        <v>Low</v>
      </c>
      <c r="T75" s="370" t="str">
        <f t="shared" si="3"/>
        <v>Standard difficulty applied</v>
      </c>
      <c r="U75" s="370" t="str">
        <f t="shared" si="4"/>
        <v>Low</v>
      </c>
      <c r="V75" s="386">
        <f>IF(D75="","",VLOOKUP(S75,'G-3 Multipliers'!$P$3:$Q$6,2,FALSE))</f>
        <v>1</v>
      </c>
      <c r="W75" s="390">
        <f t="shared" si="5"/>
        <v>0.81215793911081791</v>
      </c>
      <c r="X75" s="117"/>
      <c r="Y75" s="118"/>
      <c r="Z75" s="120"/>
      <c r="AG75" s="30" t="str">
        <f>IFERROR(INDEX('G-6 Hedgerow Data'!$BJ$3:$BJ$15,MATCH(D75,'G-6 Hedgerow Data'!$B$3:$B$15,0)),"")</f>
        <v>Hedgecond1</v>
      </c>
    </row>
    <row r="76" spans="2:33" ht="28.5" x14ac:dyDescent="0.2">
      <c r="B76" s="110">
        <v>65</v>
      </c>
      <c r="C76" s="167">
        <v>67</v>
      </c>
      <c r="D76" s="159" t="s">
        <v>171</v>
      </c>
      <c r="E76" s="139">
        <v>0.102240977236675</v>
      </c>
      <c r="F76" s="411" t="str">
        <f>IF(D76="","",VLOOKUP(D76,'G-6 Hedgerow Data'!$B$2:$AG$15,2,FALSE))</f>
        <v>Medium</v>
      </c>
      <c r="G76" s="363">
        <f>IF(D76="","",VLOOKUP(D76,'G-6 Hedgerow Data'!$B$2:$AG$15,3,FALSE))</f>
        <v>4</v>
      </c>
      <c r="H76" s="114" t="s">
        <v>68</v>
      </c>
      <c r="I76" s="363">
        <f>IFERROR(VLOOKUP(H76,'G-1 All Habitats'!$Z$2:$AA$9,2,FALSE),"")</f>
        <v>3</v>
      </c>
      <c r="J76" s="114" t="s">
        <v>1037</v>
      </c>
      <c r="K76" s="382" t="str">
        <f>IF(J76="","",IF(VLOOKUP(J76,'G-3 Multipliers'!$L$3:$N$6,2,FALSE)=0,"Spatial Data Missing ⚠",VLOOKUP(J76,'G-3 Multipliers'!$L$3:$N$6,2,FALSE)))</f>
        <v>Low Strategic Significance</v>
      </c>
      <c r="L76" s="368">
        <f>IF(J76="","",IF(VLOOKUP(J76,'G-3 Multipliers'!$L$3:$N$6,3,FALSE)=0,"Spatial Data Missing ⚠",VLOOKUP(J76,'G-3 Multipliers'!$L$3:$N$6,3,FALSE)))</f>
        <v>1</v>
      </c>
      <c r="M76" s="362">
        <f>IF(OR(D76="",H76=""),"",(INDEX('G-6 Hedgerow Data'!$E$3:$I$15,MATCH(D76,'G-6 Hedgerow Data'!$B$3:$B$15,0),MATCH(H76,'G-6 Hedgerow Data'!$E$2:$I$2,0))))</f>
        <v>12</v>
      </c>
      <c r="N76" s="159"/>
      <c r="O76" s="159"/>
      <c r="P76" s="370" t="str">
        <f t="shared" si="1"/>
        <v>Standard time to target condition applied</v>
      </c>
      <c r="Q76" s="383">
        <f t="shared" si="2"/>
        <v>12</v>
      </c>
      <c r="R76" s="384">
        <f t="shared" ref="R76:R139" si="6">IF(M76="","",IF(Q76="Check Data ⚠","Check Data ⚠",VLOOKUP(Q76,TemporalMultipliers,3,FALSE)))</f>
        <v>0.65212036070000001</v>
      </c>
      <c r="S76" s="398" t="str">
        <f>IF(D76="","",VLOOKUP(D76,'G-6 Hedgerow Data'!$B$3:$AG$15,31,FALSE))</f>
        <v>Low</v>
      </c>
      <c r="T76" s="370" t="str">
        <f t="shared" si="3"/>
        <v>Standard difficulty applied</v>
      </c>
      <c r="U76" s="370" t="str">
        <f t="shared" si="4"/>
        <v>Low</v>
      </c>
      <c r="V76" s="386">
        <f>IF(D76="","",VLOOKUP(S76,'G-3 Multipliers'!$P$3:$Q$6,2,FALSE))</f>
        <v>1</v>
      </c>
      <c r="W76" s="390">
        <f t="shared" si="5"/>
        <v>0.80008107544681184</v>
      </c>
      <c r="X76" s="117"/>
      <c r="Y76" s="118"/>
      <c r="Z76" s="120"/>
      <c r="AG76" s="30" t="str">
        <f>IFERROR(INDEX('G-6 Hedgerow Data'!$BJ$3:$BJ$15,MATCH(D76,'G-6 Hedgerow Data'!$B$3:$B$15,0)),"")</f>
        <v>Hedgecond1</v>
      </c>
    </row>
    <row r="77" spans="2:33" ht="28.5" x14ac:dyDescent="0.2">
      <c r="B77" s="110">
        <v>66</v>
      </c>
      <c r="C77" s="167">
        <v>68</v>
      </c>
      <c r="D77" s="159" t="s">
        <v>171</v>
      </c>
      <c r="E77" s="139">
        <v>0.31290364433651541</v>
      </c>
      <c r="F77" s="411" t="str">
        <f>IF(D77="","",VLOOKUP(D77,'G-6 Hedgerow Data'!$B$2:$AG$15,2,FALSE))</f>
        <v>Medium</v>
      </c>
      <c r="G77" s="363">
        <f>IF(D77="","",VLOOKUP(D77,'G-6 Hedgerow Data'!$B$2:$AG$15,3,FALSE))</f>
        <v>4</v>
      </c>
      <c r="H77" s="114" t="s">
        <v>68</v>
      </c>
      <c r="I77" s="363">
        <f>IFERROR(VLOOKUP(H77,'G-1 All Habitats'!$Z$2:$AA$9,2,FALSE),"")</f>
        <v>3</v>
      </c>
      <c r="J77" s="114" t="s">
        <v>1037</v>
      </c>
      <c r="K77" s="382" t="str">
        <f>IF(J77="","",IF(VLOOKUP(J77,'G-3 Multipliers'!$L$3:$N$6,2,FALSE)=0,"Spatial Data Missing ⚠",VLOOKUP(J77,'G-3 Multipliers'!$L$3:$N$6,2,FALSE)))</f>
        <v>Low Strategic Significance</v>
      </c>
      <c r="L77" s="368">
        <f>IF(J77="","",IF(VLOOKUP(J77,'G-3 Multipliers'!$L$3:$N$6,3,FALSE)=0,"Spatial Data Missing ⚠",VLOOKUP(J77,'G-3 Multipliers'!$L$3:$N$6,3,FALSE)))</f>
        <v>1</v>
      </c>
      <c r="M77" s="362">
        <f>IF(OR(D77="",H77=""),"",(INDEX('G-6 Hedgerow Data'!$E$3:$I$15,MATCH(D77,'G-6 Hedgerow Data'!$B$3:$B$15,0),MATCH(H77,'G-6 Hedgerow Data'!$E$2:$I$2,0))))</f>
        <v>12</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Standard time to target condition applied</v>
      </c>
      <c r="Q77" s="383">
        <f t="shared" ref="Q77:Q140" si="8">IF(M77="","",IF(P77="Error -both advance and delayed habitat creation ▲","Check Data ⚠",IF(OR(N77="30+",N77="Habitat already in target condition"),0,IF(O77="30+","30+",IF(AND(M77="30+",OR(N77="",N77=0)),"30+",IF(AND(M77="30+",N77&gt;0),30-N77,IF(M77+O77&gt;30,"30+",IF(M77+O77-N77&gt;0,M77+O77-N77,IF(M77-N77&lt;0,0,M77+O77-N77)))))))))</f>
        <v>12</v>
      </c>
      <c r="R77" s="384">
        <f t="shared" si="6"/>
        <v>0.65212036070000001</v>
      </c>
      <c r="S77" s="398" t="str">
        <f>IF(D77="","",VLOOKUP(D77,'G-6 Hedgerow Data'!$B$3:$AG$15,31,FALSE))</f>
        <v>Low</v>
      </c>
      <c r="T77" s="370" t="str">
        <f t="shared" ref="T77:T140" si="9">IF(D77="","",IF(Q77="Check Data ⚠","Check Data ⚠",IF(H77="","",IF($P77="Check details - Is there evidence that habitat has reached target condition? ⚠","Low Difficulty - only applicable if all habitat created before losses ⚠","Standard difficulty applied"))))</f>
        <v>Standard difficulty applied</v>
      </c>
      <c r="U77" s="370" t="str">
        <f t="shared" ref="U77:U140" si="10">(IF(AND(T77="Standard difficulty applied",M77&gt;N77),S77,IF(AND(T77="Low Difficulty - only applicable if all habitat created before losses ⚠",Q77&lt;=0),"Low",S77)))</f>
        <v>Low</v>
      </c>
      <c r="V77" s="386">
        <f>IF(D77="","",VLOOKUP(S77,'G-3 Multipliers'!$P$3:$Q$6,2,FALSE))</f>
        <v>1</v>
      </c>
      <c r="W77" s="390">
        <f t="shared" ref="W77:W140" si="11">IFERROR(E77*G77*I77*L77*R77*V77,"")</f>
        <v>2.4486100489088751</v>
      </c>
      <c r="X77" s="117"/>
      <c r="Y77" s="118"/>
      <c r="Z77" s="120"/>
      <c r="AG77" s="30" t="str">
        <f>IFERROR(INDEX('G-6 Hedgerow Data'!$BJ$3:$BJ$15,MATCH(D77,'G-6 Hedgerow Data'!$B$3:$B$15,0)),"")</f>
        <v>Hedgecond1</v>
      </c>
    </row>
    <row r="78" spans="2:33" ht="28.5" x14ac:dyDescent="0.2">
      <c r="B78" s="110">
        <v>67</v>
      </c>
      <c r="C78" s="167">
        <v>69</v>
      </c>
      <c r="D78" s="159" t="s">
        <v>171</v>
      </c>
      <c r="E78" s="139">
        <v>0.13762355156306752</v>
      </c>
      <c r="F78" s="411" t="str">
        <f>IF(D78="","",VLOOKUP(D78,'G-6 Hedgerow Data'!$B$2:$AG$15,2,FALSE))</f>
        <v>Medium</v>
      </c>
      <c r="G78" s="363">
        <f>IF(D78="","",VLOOKUP(D78,'G-6 Hedgerow Data'!$B$2:$AG$15,3,FALSE))</f>
        <v>4</v>
      </c>
      <c r="H78" s="114" t="s">
        <v>68</v>
      </c>
      <c r="I78" s="363">
        <f>IFERROR(VLOOKUP(H78,'G-1 All Habitats'!$Z$2:$AA$9,2,FALSE),"")</f>
        <v>3</v>
      </c>
      <c r="J78" s="114" t="s">
        <v>1037</v>
      </c>
      <c r="K78" s="382" t="str">
        <f>IF(J78="","",IF(VLOOKUP(J78,'G-3 Multipliers'!$L$3:$N$6,2,FALSE)=0,"Spatial Data Missing ⚠",VLOOKUP(J78,'G-3 Multipliers'!$L$3:$N$6,2,FALSE)))</f>
        <v>Low Strategic Significance</v>
      </c>
      <c r="L78" s="368">
        <f>IF(J78="","",IF(VLOOKUP(J78,'G-3 Multipliers'!$L$3:$N$6,3,FALSE)=0,"Spatial Data Missing ⚠",VLOOKUP(J78,'G-3 Multipliers'!$L$3:$N$6,3,FALSE)))</f>
        <v>1</v>
      </c>
      <c r="M78" s="362">
        <f>IF(OR(D78="",H78=""),"",(INDEX('G-6 Hedgerow Data'!$E$3:$I$15,MATCH(D78,'G-6 Hedgerow Data'!$B$3:$B$15,0),MATCH(H78,'G-6 Hedgerow Data'!$E$2:$I$2,0))))</f>
        <v>12</v>
      </c>
      <c r="N78" s="159"/>
      <c r="O78" s="159"/>
      <c r="P78" s="370" t="str">
        <f t="shared" si="7"/>
        <v>Standard time to target condition applied</v>
      </c>
      <c r="Q78" s="383">
        <f t="shared" si="8"/>
        <v>12</v>
      </c>
      <c r="R78" s="384">
        <f t="shared" si="6"/>
        <v>0.65212036070000001</v>
      </c>
      <c r="S78" s="398" t="str">
        <f>IF(D78="","",VLOOKUP(D78,'G-6 Hedgerow Data'!$B$3:$AG$15,31,FALSE))</f>
        <v>Low</v>
      </c>
      <c r="T78" s="370" t="str">
        <f t="shared" si="9"/>
        <v>Standard difficulty applied</v>
      </c>
      <c r="U78" s="370" t="str">
        <f t="shared" si="10"/>
        <v>Low</v>
      </c>
      <c r="V78" s="386">
        <f>IF(D78="","",VLOOKUP(S78,'G-3 Multipliers'!$P$3:$Q$6,2,FALSE))</f>
        <v>1</v>
      </c>
      <c r="W78" s="390">
        <f t="shared" si="11"/>
        <v>1.0769654410334717</v>
      </c>
      <c r="X78" s="117"/>
      <c r="Y78" s="118"/>
      <c r="Z78" s="120"/>
      <c r="AG78" s="30" t="str">
        <f>IFERROR(INDEX('G-6 Hedgerow Data'!$BJ$3:$BJ$15,MATCH(D78,'G-6 Hedgerow Data'!$B$3:$B$15,0)),"")</f>
        <v>Hedgecond1</v>
      </c>
    </row>
    <row r="79" spans="2:33" ht="28.5" x14ac:dyDescent="0.2">
      <c r="B79" s="110">
        <v>68</v>
      </c>
      <c r="C79" s="167">
        <v>70</v>
      </c>
      <c r="D79" s="159" t="s">
        <v>171</v>
      </c>
      <c r="E79" s="139">
        <v>0.13150127659857461</v>
      </c>
      <c r="F79" s="411" t="str">
        <f>IF(D79="","",VLOOKUP(D79,'G-6 Hedgerow Data'!$B$2:$AG$15,2,FALSE))</f>
        <v>Medium</v>
      </c>
      <c r="G79" s="363">
        <f>IF(D79="","",VLOOKUP(D79,'G-6 Hedgerow Data'!$B$2:$AG$15,3,FALSE))</f>
        <v>4</v>
      </c>
      <c r="H79" s="114" t="s">
        <v>68</v>
      </c>
      <c r="I79" s="363">
        <f>IFERROR(VLOOKUP(H79,'G-1 All Habitats'!$Z$2:$AA$9,2,FALSE),"")</f>
        <v>3</v>
      </c>
      <c r="J79" s="114" t="s">
        <v>1037</v>
      </c>
      <c r="K79" s="382" t="str">
        <f>IF(J79="","",IF(VLOOKUP(J79,'G-3 Multipliers'!$L$3:$N$6,2,FALSE)=0,"Spatial Data Missing ⚠",VLOOKUP(J79,'G-3 Multipliers'!$L$3:$N$6,2,FALSE)))</f>
        <v>Low Strategic Significance</v>
      </c>
      <c r="L79" s="368">
        <f>IF(J79="","",IF(VLOOKUP(J79,'G-3 Multipliers'!$L$3:$N$6,3,FALSE)=0,"Spatial Data Missing ⚠",VLOOKUP(J79,'G-3 Multipliers'!$L$3:$N$6,3,FALSE)))</f>
        <v>1</v>
      </c>
      <c r="M79" s="362">
        <f>IF(OR(D79="",H79=""),"",(INDEX('G-6 Hedgerow Data'!$E$3:$I$15,MATCH(D79,'G-6 Hedgerow Data'!$B$3:$B$15,0),MATCH(H79,'G-6 Hedgerow Data'!$E$2:$I$2,0))))</f>
        <v>12</v>
      </c>
      <c r="N79" s="159"/>
      <c r="O79" s="159"/>
      <c r="P79" s="370" t="str">
        <f t="shared" si="7"/>
        <v>Standard time to target condition applied</v>
      </c>
      <c r="Q79" s="383">
        <f t="shared" si="8"/>
        <v>12</v>
      </c>
      <c r="R79" s="384">
        <f t="shared" si="6"/>
        <v>0.65212036070000001</v>
      </c>
      <c r="S79" s="398" t="str">
        <f>IF(D79="","",VLOOKUP(D79,'G-6 Hedgerow Data'!$B$3:$AG$15,31,FALSE))</f>
        <v>Low</v>
      </c>
      <c r="T79" s="370" t="str">
        <f t="shared" si="9"/>
        <v>Standard difficulty applied</v>
      </c>
      <c r="U79" s="370" t="str">
        <f t="shared" si="10"/>
        <v>Low</v>
      </c>
      <c r="V79" s="386">
        <f>IF(D79="","",VLOOKUP(S79,'G-3 Multipliers'!$P$3:$Q$6,2,FALSE))</f>
        <v>1</v>
      </c>
      <c r="W79" s="390">
        <f t="shared" si="11"/>
        <v>1.0290559191356754</v>
      </c>
      <c r="X79" s="117"/>
      <c r="Y79" s="118"/>
      <c r="Z79" s="120"/>
      <c r="AG79" s="30" t="str">
        <f>IFERROR(INDEX('G-6 Hedgerow Data'!$BJ$3:$BJ$15,MATCH(D79,'G-6 Hedgerow Data'!$B$3:$B$15,0)),"")</f>
        <v>Hedgecond1</v>
      </c>
    </row>
    <row r="80" spans="2:33" ht="28.5" x14ac:dyDescent="0.2">
      <c r="B80" s="110">
        <v>69</v>
      </c>
      <c r="C80" s="167">
        <v>71</v>
      </c>
      <c r="D80" s="159" t="s">
        <v>171</v>
      </c>
      <c r="E80" s="139">
        <v>0.151901238962205</v>
      </c>
      <c r="F80" s="411" t="str">
        <f>IF(D80="","",VLOOKUP(D80,'G-6 Hedgerow Data'!$B$2:$AG$15,2,FALSE))</f>
        <v>Medium</v>
      </c>
      <c r="G80" s="363">
        <f>IF(D80="","",VLOOKUP(D80,'G-6 Hedgerow Data'!$B$2:$AG$15,3,FALSE))</f>
        <v>4</v>
      </c>
      <c r="H80" s="114" t="s">
        <v>68</v>
      </c>
      <c r="I80" s="363">
        <f>IFERROR(VLOOKUP(H80,'G-1 All Habitats'!$Z$2:$AA$9,2,FALSE),"")</f>
        <v>3</v>
      </c>
      <c r="J80" s="114" t="s">
        <v>1037</v>
      </c>
      <c r="K80" s="382" t="str">
        <f>IF(J80="","",IF(VLOOKUP(J80,'G-3 Multipliers'!$L$3:$N$6,2,FALSE)=0,"Spatial Data Missing ⚠",VLOOKUP(J80,'G-3 Multipliers'!$L$3:$N$6,2,FALSE)))</f>
        <v>Low Strategic Significance</v>
      </c>
      <c r="L80" s="368">
        <f>IF(J80="","",IF(VLOOKUP(J80,'G-3 Multipliers'!$L$3:$N$6,3,FALSE)=0,"Spatial Data Missing ⚠",VLOOKUP(J80,'G-3 Multipliers'!$L$3:$N$6,3,FALSE)))</f>
        <v>1</v>
      </c>
      <c r="M80" s="362">
        <f>IF(OR(D80="",H80=""),"",(INDEX('G-6 Hedgerow Data'!$E$3:$I$15,MATCH(D80,'G-6 Hedgerow Data'!$B$3:$B$15,0),MATCH(H80,'G-6 Hedgerow Data'!$E$2:$I$2,0))))</f>
        <v>12</v>
      </c>
      <c r="N80" s="159"/>
      <c r="O80" s="159"/>
      <c r="P80" s="370" t="str">
        <f t="shared" si="7"/>
        <v>Standard time to target condition applied</v>
      </c>
      <c r="Q80" s="383">
        <f t="shared" si="8"/>
        <v>12</v>
      </c>
      <c r="R80" s="384">
        <f t="shared" si="6"/>
        <v>0.65212036070000001</v>
      </c>
      <c r="S80" s="398" t="str">
        <f>IF(D80="","",VLOOKUP(D80,'G-6 Hedgerow Data'!$B$3:$AG$15,31,FALSE))</f>
        <v>Low</v>
      </c>
      <c r="T80" s="370" t="str">
        <f t="shared" si="9"/>
        <v>Standard difficulty applied</v>
      </c>
      <c r="U80" s="370" t="str">
        <f t="shared" si="10"/>
        <v>Low</v>
      </c>
      <c r="V80" s="386">
        <f>IF(D80="","",VLOOKUP(S80,'G-3 Multipliers'!$P$3:$Q$6,2,FALSE))</f>
        <v>1</v>
      </c>
      <c r="W80" s="390">
        <f t="shared" si="11"/>
        <v>1.1886946889137204</v>
      </c>
      <c r="X80" s="117"/>
      <c r="Y80" s="118"/>
      <c r="Z80" s="120"/>
      <c r="AG80" s="30" t="str">
        <f>IFERROR(INDEX('G-6 Hedgerow Data'!$BJ$3:$BJ$15,MATCH(D80,'G-6 Hedgerow Data'!$B$3:$B$15,0)),"")</f>
        <v>Hedgecond1</v>
      </c>
    </row>
    <row r="81" spans="2:33" ht="28.5" x14ac:dyDescent="0.2">
      <c r="B81" s="110">
        <v>70</v>
      </c>
      <c r="C81" s="167">
        <v>72</v>
      </c>
      <c r="D81" s="159" t="s">
        <v>171</v>
      </c>
      <c r="E81" s="139">
        <v>0.15684945069425318</v>
      </c>
      <c r="F81" s="411" t="str">
        <f>IF(D81="","",VLOOKUP(D81,'G-6 Hedgerow Data'!$B$2:$AG$15,2,FALSE))</f>
        <v>Medium</v>
      </c>
      <c r="G81" s="363">
        <f>IF(D81="","",VLOOKUP(D81,'G-6 Hedgerow Data'!$B$2:$AG$15,3,FALSE))</f>
        <v>4</v>
      </c>
      <c r="H81" s="114" t="s">
        <v>68</v>
      </c>
      <c r="I81" s="363">
        <f>IFERROR(VLOOKUP(H81,'G-1 All Habitats'!$Z$2:$AA$9,2,FALSE),"")</f>
        <v>3</v>
      </c>
      <c r="J81" s="114" t="s">
        <v>1037</v>
      </c>
      <c r="K81" s="382" t="str">
        <f>IF(J81="","",IF(VLOOKUP(J81,'G-3 Multipliers'!$L$3:$N$6,2,FALSE)=0,"Spatial Data Missing ⚠",VLOOKUP(J81,'G-3 Multipliers'!$L$3:$N$6,2,FALSE)))</f>
        <v>Low Strategic Significance</v>
      </c>
      <c r="L81" s="368">
        <f>IF(J81="","",IF(VLOOKUP(J81,'G-3 Multipliers'!$L$3:$N$6,3,FALSE)=0,"Spatial Data Missing ⚠",VLOOKUP(J81,'G-3 Multipliers'!$L$3:$N$6,3,FALSE)))</f>
        <v>1</v>
      </c>
      <c r="M81" s="362">
        <f>IF(OR(D81="",H81=""),"",(INDEX('G-6 Hedgerow Data'!$E$3:$I$15,MATCH(D81,'G-6 Hedgerow Data'!$B$3:$B$15,0),MATCH(H81,'G-6 Hedgerow Data'!$E$2:$I$2,0))))</f>
        <v>12</v>
      </c>
      <c r="N81" s="159"/>
      <c r="O81" s="159"/>
      <c r="P81" s="370" t="str">
        <f t="shared" si="7"/>
        <v>Standard time to target condition applied</v>
      </c>
      <c r="Q81" s="383">
        <f t="shared" si="8"/>
        <v>12</v>
      </c>
      <c r="R81" s="384">
        <f t="shared" si="6"/>
        <v>0.65212036070000001</v>
      </c>
      <c r="S81" s="398" t="str">
        <f>IF(D81="","",VLOOKUP(D81,'G-6 Hedgerow Data'!$B$3:$AG$15,31,FALSE))</f>
        <v>Low</v>
      </c>
      <c r="T81" s="370" t="str">
        <f t="shared" si="9"/>
        <v>Standard difficulty applied</v>
      </c>
      <c r="U81" s="370" t="str">
        <f t="shared" si="10"/>
        <v>Low</v>
      </c>
      <c r="V81" s="386">
        <f>IF(D81="","",VLOOKUP(S81,'G-3 Multipliers'!$P$3:$Q$6,2,FALSE))</f>
        <v>1</v>
      </c>
      <c r="W81" s="390">
        <f t="shared" si="11"/>
        <v>1.227416644347999</v>
      </c>
      <c r="X81" s="117"/>
      <c r="Y81" s="118"/>
      <c r="Z81" s="120"/>
      <c r="AG81" s="30" t="str">
        <f>IFERROR(INDEX('G-6 Hedgerow Data'!$BJ$3:$BJ$15,MATCH(D81,'G-6 Hedgerow Data'!$B$3:$B$15,0)),"")</f>
        <v>Hedgecond1</v>
      </c>
    </row>
    <row r="82" spans="2:33" ht="28.5" x14ac:dyDescent="0.2">
      <c r="B82" s="110">
        <v>71</v>
      </c>
      <c r="C82" s="167">
        <v>73</v>
      </c>
      <c r="D82" s="159" t="s">
        <v>171</v>
      </c>
      <c r="E82" s="139">
        <v>0.31784380340352775</v>
      </c>
      <c r="F82" s="411" t="str">
        <f>IF(D82="","",VLOOKUP(D82,'G-6 Hedgerow Data'!$B$2:$AG$15,2,FALSE))</f>
        <v>Medium</v>
      </c>
      <c r="G82" s="363">
        <f>IF(D82="","",VLOOKUP(D82,'G-6 Hedgerow Data'!$B$2:$AG$15,3,FALSE))</f>
        <v>4</v>
      </c>
      <c r="H82" s="114" t="s">
        <v>68</v>
      </c>
      <c r="I82" s="363">
        <f>IFERROR(VLOOKUP(H82,'G-1 All Habitats'!$Z$2:$AA$9,2,FALSE),"")</f>
        <v>3</v>
      </c>
      <c r="J82" s="114" t="s">
        <v>1037</v>
      </c>
      <c r="K82" s="382" t="str">
        <f>IF(J82="","",IF(VLOOKUP(J82,'G-3 Multipliers'!$L$3:$N$6,2,FALSE)=0,"Spatial Data Missing ⚠",VLOOKUP(J82,'G-3 Multipliers'!$L$3:$N$6,2,FALSE)))</f>
        <v>Low Strategic Significance</v>
      </c>
      <c r="L82" s="368">
        <f>IF(J82="","",IF(VLOOKUP(J82,'G-3 Multipliers'!$L$3:$N$6,3,FALSE)=0,"Spatial Data Missing ⚠",VLOOKUP(J82,'G-3 Multipliers'!$L$3:$N$6,3,FALSE)))</f>
        <v>1</v>
      </c>
      <c r="M82" s="362">
        <f>IF(OR(D82="",H82=""),"",(INDEX('G-6 Hedgerow Data'!$E$3:$I$15,MATCH(D82,'G-6 Hedgerow Data'!$B$3:$B$15,0),MATCH(H82,'G-6 Hedgerow Data'!$E$2:$I$2,0))))</f>
        <v>12</v>
      </c>
      <c r="N82" s="159"/>
      <c r="O82" s="159"/>
      <c r="P82" s="370" t="str">
        <f t="shared" si="7"/>
        <v>Standard time to target condition applied</v>
      </c>
      <c r="Q82" s="383">
        <f t="shared" si="8"/>
        <v>12</v>
      </c>
      <c r="R82" s="384">
        <f t="shared" si="6"/>
        <v>0.65212036070000001</v>
      </c>
      <c r="S82" s="398" t="str">
        <f>IF(D82="","",VLOOKUP(D82,'G-6 Hedgerow Data'!$B$3:$AG$15,31,FALSE))</f>
        <v>Low</v>
      </c>
      <c r="T82" s="370" t="str">
        <f t="shared" si="9"/>
        <v>Standard difficulty applied</v>
      </c>
      <c r="U82" s="370" t="str">
        <f t="shared" si="10"/>
        <v>Low</v>
      </c>
      <c r="V82" s="386">
        <f>IF(D82="","",VLOOKUP(S82,'G-3 Multipliers'!$P$3:$Q$6,2,FALSE))</f>
        <v>1</v>
      </c>
      <c r="W82" s="390">
        <f t="shared" si="11"/>
        <v>2.4872689886612207</v>
      </c>
      <c r="X82" s="117"/>
      <c r="Y82" s="118"/>
      <c r="Z82" s="120"/>
      <c r="AG82" s="30" t="str">
        <f>IFERROR(INDEX('G-6 Hedgerow Data'!$BJ$3:$BJ$15,MATCH(D82,'G-6 Hedgerow Data'!$B$3:$B$15,0)),"")</f>
        <v>Hedgecond1</v>
      </c>
    </row>
    <row r="83" spans="2:33" ht="28.5" x14ac:dyDescent="0.2">
      <c r="B83" s="110">
        <v>72</v>
      </c>
      <c r="C83" s="167">
        <v>74</v>
      </c>
      <c r="D83" s="159" t="s">
        <v>171</v>
      </c>
      <c r="E83" s="139">
        <v>8.2963403142401707E-2</v>
      </c>
      <c r="F83" s="411" t="str">
        <f>IF(D83="","",VLOOKUP(D83,'G-6 Hedgerow Data'!$B$2:$AG$15,2,FALSE))</f>
        <v>Medium</v>
      </c>
      <c r="G83" s="363">
        <f>IF(D83="","",VLOOKUP(D83,'G-6 Hedgerow Data'!$B$2:$AG$15,3,FALSE))</f>
        <v>4</v>
      </c>
      <c r="H83" s="114" t="s">
        <v>68</v>
      </c>
      <c r="I83" s="363">
        <f>IFERROR(VLOOKUP(H83,'G-1 All Habitats'!$Z$2:$AA$9,2,FALSE),"")</f>
        <v>3</v>
      </c>
      <c r="J83" s="114" t="s">
        <v>1037</v>
      </c>
      <c r="K83" s="382" t="str">
        <f>IF(J83="","",IF(VLOOKUP(J83,'G-3 Multipliers'!$L$3:$N$6,2,FALSE)=0,"Spatial Data Missing ⚠",VLOOKUP(J83,'G-3 Multipliers'!$L$3:$N$6,2,FALSE)))</f>
        <v>Low Strategic Significance</v>
      </c>
      <c r="L83" s="368">
        <f>IF(J83="","",IF(VLOOKUP(J83,'G-3 Multipliers'!$L$3:$N$6,3,FALSE)=0,"Spatial Data Missing ⚠",VLOOKUP(J83,'G-3 Multipliers'!$L$3:$N$6,3,FALSE)))</f>
        <v>1</v>
      </c>
      <c r="M83" s="362">
        <f>IF(OR(D83="",H83=""),"",(INDEX('G-6 Hedgerow Data'!$E$3:$I$15,MATCH(D83,'G-6 Hedgerow Data'!$B$3:$B$15,0),MATCH(H83,'G-6 Hedgerow Data'!$E$2:$I$2,0))))</f>
        <v>12</v>
      </c>
      <c r="N83" s="159"/>
      <c r="O83" s="159"/>
      <c r="P83" s="370" t="str">
        <f t="shared" si="7"/>
        <v>Standard time to target condition applied</v>
      </c>
      <c r="Q83" s="383">
        <f t="shared" si="8"/>
        <v>12</v>
      </c>
      <c r="R83" s="384">
        <f t="shared" si="6"/>
        <v>0.65212036070000001</v>
      </c>
      <c r="S83" s="398" t="str">
        <f>IF(D83="","",VLOOKUP(D83,'G-6 Hedgerow Data'!$B$3:$AG$15,31,FALSE))</f>
        <v>Low</v>
      </c>
      <c r="T83" s="370" t="str">
        <f t="shared" si="9"/>
        <v>Standard difficulty applied</v>
      </c>
      <c r="U83" s="370" t="str">
        <f t="shared" si="10"/>
        <v>Low</v>
      </c>
      <c r="V83" s="386">
        <f>IF(D83="","",VLOOKUP(S83,'G-3 Multipliers'!$P$3:$Q$6,2,FALSE))</f>
        <v>1</v>
      </c>
      <c r="W83" s="390">
        <f t="shared" si="11"/>
        <v>0.64922549258547024</v>
      </c>
      <c r="X83" s="117"/>
      <c r="Y83" s="118"/>
      <c r="Z83" s="120"/>
      <c r="AG83" s="30" t="str">
        <f>IFERROR(INDEX('G-6 Hedgerow Data'!$BJ$3:$BJ$15,MATCH(D83,'G-6 Hedgerow Data'!$B$3:$B$15,0)),"")</f>
        <v>Hedgecond1</v>
      </c>
    </row>
    <row r="84" spans="2:33" ht="28.5" x14ac:dyDescent="0.2">
      <c r="B84" s="110">
        <v>73</v>
      </c>
      <c r="C84" s="167">
        <v>75</v>
      </c>
      <c r="D84" s="159" t="s">
        <v>171</v>
      </c>
      <c r="E84" s="139">
        <v>0.53827822251345958</v>
      </c>
      <c r="F84" s="411" t="str">
        <f>IF(D84="","",VLOOKUP(D84,'G-6 Hedgerow Data'!$B$2:$AG$15,2,FALSE))</f>
        <v>Medium</v>
      </c>
      <c r="G84" s="363">
        <f>IF(D84="","",VLOOKUP(D84,'G-6 Hedgerow Data'!$B$2:$AG$15,3,FALSE))</f>
        <v>4</v>
      </c>
      <c r="H84" s="114" t="s">
        <v>68</v>
      </c>
      <c r="I84" s="363">
        <f>IFERROR(VLOOKUP(H84,'G-1 All Habitats'!$Z$2:$AA$9,2,FALSE),"")</f>
        <v>3</v>
      </c>
      <c r="J84" s="114" t="s">
        <v>1037</v>
      </c>
      <c r="K84" s="382" t="str">
        <f>IF(J84="","",IF(VLOOKUP(J84,'G-3 Multipliers'!$L$3:$N$6,2,FALSE)=0,"Spatial Data Missing ⚠",VLOOKUP(J84,'G-3 Multipliers'!$L$3:$N$6,2,FALSE)))</f>
        <v>Low Strategic Significance</v>
      </c>
      <c r="L84" s="368">
        <f>IF(J84="","",IF(VLOOKUP(J84,'G-3 Multipliers'!$L$3:$N$6,3,FALSE)=0,"Spatial Data Missing ⚠",VLOOKUP(J84,'G-3 Multipliers'!$L$3:$N$6,3,FALSE)))</f>
        <v>1</v>
      </c>
      <c r="M84" s="362">
        <f>IF(OR(D84="",H84=""),"",(INDEX('G-6 Hedgerow Data'!$E$3:$I$15,MATCH(D84,'G-6 Hedgerow Data'!$B$3:$B$15,0),MATCH(H84,'G-6 Hedgerow Data'!$E$2:$I$2,0))))</f>
        <v>12</v>
      </c>
      <c r="N84" s="159"/>
      <c r="O84" s="159"/>
      <c r="P84" s="370" t="str">
        <f t="shared" si="7"/>
        <v>Standard time to target condition applied</v>
      </c>
      <c r="Q84" s="383">
        <f t="shared" si="8"/>
        <v>12</v>
      </c>
      <c r="R84" s="384">
        <f t="shared" si="6"/>
        <v>0.65212036070000001</v>
      </c>
      <c r="S84" s="398" t="str">
        <f>IF(D84="","",VLOOKUP(D84,'G-6 Hedgerow Data'!$B$3:$AG$15,31,FALSE))</f>
        <v>Low</v>
      </c>
      <c r="T84" s="370" t="str">
        <f t="shared" si="9"/>
        <v>Standard difficulty applied</v>
      </c>
      <c r="U84" s="370" t="str">
        <f t="shared" si="10"/>
        <v>Low</v>
      </c>
      <c r="V84" s="386">
        <f>IF(D84="","",VLOOKUP(S84,'G-3 Multipliers'!$P$3:$Q$6,2,FALSE))</f>
        <v>1</v>
      </c>
      <c r="W84" s="390">
        <f t="shared" si="11"/>
        <v>4.2122662634691856</v>
      </c>
      <c r="X84" s="117"/>
      <c r="Y84" s="118"/>
      <c r="Z84" s="120"/>
      <c r="AG84" s="30" t="str">
        <f>IFERROR(INDEX('G-6 Hedgerow Data'!$BJ$3:$BJ$15,MATCH(D84,'G-6 Hedgerow Data'!$B$3:$B$15,0)),"")</f>
        <v>Hedgecond1</v>
      </c>
    </row>
    <row r="85" spans="2:33" ht="28.5" x14ac:dyDescent="0.2">
      <c r="B85" s="110">
        <v>74</v>
      </c>
      <c r="C85" s="167">
        <v>76</v>
      </c>
      <c r="D85" s="159" t="s">
        <v>171</v>
      </c>
      <c r="E85" s="139">
        <v>0.1492592216135947</v>
      </c>
      <c r="F85" s="411" t="str">
        <f>IF(D85="","",VLOOKUP(D85,'G-6 Hedgerow Data'!$B$2:$AG$15,2,FALSE))</f>
        <v>Medium</v>
      </c>
      <c r="G85" s="363">
        <f>IF(D85="","",VLOOKUP(D85,'G-6 Hedgerow Data'!$B$2:$AG$15,3,FALSE))</f>
        <v>4</v>
      </c>
      <c r="H85" s="114" t="s">
        <v>68</v>
      </c>
      <c r="I85" s="363">
        <f>IFERROR(VLOOKUP(H85,'G-1 All Habitats'!$Z$2:$AA$9,2,FALSE),"")</f>
        <v>3</v>
      </c>
      <c r="J85" s="114" t="s">
        <v>1037</v>
      </c>
      <c r="K85" s="382" t="str">
        <f>IF(J85="","",IF(VLOOKUP(J85,'G-3 Multipliers'!$L$3:$N$6,2,FALSE)=0,"Spatial Data Missing ⚠",VLOOKUP(J85,'G-3 Multipliers'!$L$3:$N$6,2,FALSE)))</f>
        <v>Low Strategic Significance</v>
      </c>
      <c r="L85" s="368">
        <f>IF(J85="","",IF(VLOOKUP(J85,'G-3 Multipliers'!$L$3:$N$6,3,FALSE)=0,"Spatial Data Missing ⚠",VLOOKUP(J85,'G-3 Multipliers'!$L$3:$N$6,3,FALSE)))</f>
        <v>1</v>
      </c>
      <c r="M85" s="362">
        <f>IF(OR(D85="",H85=""),"",(INDEX('G-6 Hedgerow Data'!$E$3:$I$15,MATCH(D85,'G-6 Hedgerow Data'!$B$3:$B$15,0),MATCH(H85,'G-6 Hedgerow Data'!$E$2:$I$2,0))))</f>
        <v>12</v>
      </c>
      <c r="N85" s="159"/>
      <c r="O85" s="159"/>
      <c r="P85" s="370" t="str">
        <f t="shared" si="7"/>
        <v>Standard time to target condition applied</v>
      </c>
      <c r="Q85" s="383">
        <f t="shared" si="8"/>
        <v>12</v>
      </c>
      <c r="R85" s="384">
        <f t="shared" si="6"/>
        <v>0.65212036070000001</v>
      </c>
      <c r="S85" s="398" t="str">
        <f>IF(D85="","",VLOOKUP(D85,'G-6 Hedgerow Data'!$B$3:$AG$15,31,FALSE))</f>
        <v>Low</v>
      </c>
      <c r="T85" s="370" t="str">
        <f t="shared" si="9"/>
        <v>Standard difficulty applied</v>
      </c>
      <c r="U85" s="370" t="str">
        <f t="shared" si="10"/>
        <v>Low</v>
      </c>
      <c r="V85" s="386">
        <f>IF(D85="","",VLOOKUP(S85,'G-3 Multipliers'!$P$3:$Q$6,2,FALSE))</f>
        <v>1</v>
      </c>
      <c r="W85" s="390">
        <f t="shared" si="11"/>
        <v>1.1680197292375032</v>
      </c>
      <c r="X85" s="117"/>
      <c r="Y85" s="118"/>
      <c r="Z85" s="120"/>
      <c r="AG85" s="30" t="str">
        <f>IFERROR(INDEX('G-6 Hedgerow Data'!$BJ$3:$BJ$15,MATCH(D85,'G-6 Hedgerow Data'!$B$3:$B$15,0)),"")</f>
        <v>Hedgecond1</v>
      </c>
    </row>
    <row r="86" spans="2:33" ht="28.5" x14ac:dyDescent="0.2">
      <c r="B86" s="110">
        <v>75</v>
      </c>
      <c r="C86" s="167">
        <v>77</v>
      </c>
      <c r="D86" s="159" t="s">
        <v>171</v>
      </c>
      <c r="E86" s="139">
        <v>0.12246540277123179</v>
      </c>
      <c r="F86" s="411" t="str">
        <f>IF(D86="","",VLOOKUP(D86,'G-6 Hedgerow Data'!$B$2:$AG$15,2,FALSE))</f>
        <v>Medium</v>
      </c>
      <c r="G86" s="363">
        <f>IF(D86="","",VLOOKUP(D86,'G-6 Hedgerow Data'!$B$2:$AG$15,3,FALSE))</f>
        <v>4</v>
      </c>
      <c r="H86" s="114" t="s">
        <v>68</v>
      </c>
      <c r="I86" s="363">
        <f>IFERROR(VLOOKUP(H86,'G-1 All Habitats'!$Z$2:$AA$9,2,FALSE),"")</f>
        <v>3</v>
      </c>
      <c r="J86" s="114" t="s">
        <v>1037</v>
      </c>
      <c r="K86" s="382" t="str">
        <f>IF(J86="","",IF(VLOOKUP(J86,'G-3 Multipliers'!$L$3:$N$6,2,FALSE)=0,"Spatial Data Missing ⚠",VLOOKUP(J86,'G-3 Multipliers'!$L$3:$N$6,2,FALSE)))</f>
        <v>Low Strategic Significance</v>
      </c>
      <c r="L86" s="368">
        <f>IF(J86="","",IF(VLOOKUP(J86,'G-3 Multipliers'!$L$3:$N$6,3,FALSE)=0,"Spatial Data Missing ⚠",VLOOKUP(J86,'G-3 Multipliers'!$L$3:$N$6,3,FALSE)))</f>
        <v>1</v>
      </c>
      <c r="M86" s="362">
        <f>IF(OR(D86="",H86=""),"",(INDEX('G-6 Hedgerow Data'!$E$3:$I$15,MATCH(D86,'G-6 Hedgerow Data'!$B$3:$B$15,0),MATCH(H86,'G-6 Hedgerow Data'!$E$2:$I$2,0))))</f>
        <v>12</v>
      </c>
      <c r="N86" s="159"/>
      <c r="O86" s="159"/>
      <c r="P86" s="370" t="str">
        <f t="shared" si="7"/>
        <v>Standard time to target condition applied</v>
      </c>
      <c r="Q86" s="383">
        <f t="shared" si="8"/>
        <v>12</v>
      </c>
      <c r="R86" s="384">
        <f t="shared" si="6"/>
        <v>0.65212036070000001</v>
      </c>
      <c r="S86" s="398" t="str">
        <f>IF(D86="","",VLOOKUP(D86,'G-6 Hedgerow Data'!$B$3:$AG$15,31,FALSE))</f>
        <v>Low</v>
      </c>
      <c r="T86" s="370" t="str">
        <f t="shared" si="9"/>
        <v>Standard difficulty applied</v>
      </c>
      <c r="U86" s="370" t="str">
        <f t="shared" si="10"/>
        <v>Low</v>
      </c>
      <c r="V86" s="386">
        <f>IF(D86="","",VLOOKUP(S86,'G-3 Multipliers'!$P$3:$Q$6,2,FALSE))</f>
        <v>1</v>
      </c>
      <c r="W86" s="390">
        <f t="shared" si="11"/>
        <v>0.95834619154135747</v>
      </c>
      <c r="X86" s="117"/>
      <c r="Y86" s="118"/>
      <c r="Z86" s="120"/>
      <c r="AG86" s="30" t="str">
        <f>IFERROR(INDEX('G-6 Hedgerow Data'!$BJ$3:$BJ$15,MATCH(D86,'G-6 Hedgerow Data'!$B$3:$B$15,0)),"")</f>
        <v>Hedgecond1</v>
      </c>
    </row>
    <row r="87" spans="2:33" ht="28.5" x14ac:dyDescent="0.2">
      <c r="B87" s="110">
        <v>76</v>
      </c>
      <c r="C87" s="167">
        <v>78</v>
      </c>
      <c r="D87" s="159" t="s">
        <v>171</v>
      </c>
      <c r="E87" s="139">
        <v>0.23075591590019051</v>
      </c>
      <c r="F87" s="411" t="str">
        <f>IF(D87="","",VLOOKUP(D87,'G-6 Hedgerow Data'!$B$2:$AG$15,2,FALSE))</f>
        <v>Medium</v>
      </c>
      <c r="G87" s="363">
        <f>IF(D87="","",VLOOKUP(D87,'G-6 Hedgerow Data'!$B$2:$AG$15,3,FALSE))</f>
        <v>4</v>
      </c>
      <c r="H87" s="114" t="s">
        <v>68</v>
      </c>
      <c r="I87" s="363">
        <f>IFERROR(VLOOKUP(H87,'G-1 All Habitats'!$Z$2:$AA$9,2,FALSE),"")</f>
        <v>3</v>
      </c>
      <c r="J87" s="114" t="s">
        <v>1037</v>
      </c>
      <c r="K87" s="382" t="str">
        <f>IF(J87="","",IF(VLOOKUP(J87,'G-3 Multipliers'!$L$3:$N$6,2,FALSE)=0,"Spatial Data Missing ⚠",VLOOKUP(J87,'G-3 Multipliers'!$L$3:$N$6,2,FALSE)))</f>
        <v>Low Strategic Significance</v>
      </c>
      <c r="L87" s="368">
        <f>IF(J87="","",IF(VLOOKUP(J87,'G-3 Multipliers'!$L$3:$N$6,3,FALSE)=0,"Spatial Data Missing ⚠",VLOOKUP(J87,'G-3 Multipliers'!$L$3:$N$6,3,FALSE)))</f>
        <v>1</v>
      </c>
      <c r="M87" s="362">
        <f>IF(OR(D87="",H87=""),"",(INDEX('G-6 Hedgerow Data'!$E$3:$I$15,MATCH(D87,'G-6 Hedgerow Data'!$B$3:$B$15,0),MATCH(H87,'G-6 Hedgerow Data'!$E$2:$I$2,0))))</f>
        <v>12</v>
      </c>
      <c r="N87" s="159"/>
      <c r="O87" s="159"/>
      <c r="P87" s="370" t="str">
        <f t="shared" si="7"/>
        <v>Standard time to target condition applied</v>
      </c>
      <c r="Q87" s="383">
        <f t="shared" si="8"/>
        <v>12</v>
      </c>
      <c r="R87" s="384">
        <f t="shared" si="6"/>
        <v>0.65212036070000001</v>
      </c>
      <c r="S87" s="398" t="str">
        <f>IF(D87="","",VLOOKUP(D87,'G-6 Hedgerow Data'!$B$3:$AG$15,31,FALSE))</f>
        <v>Low</v>
      </c>
      <c r="T87" s="370" t="str">
        <f t="shared" si="9"/>
        <v>Standard difficulty applied</v>
      </c>
      <c r="U87" s="370" t="str">
        <f t="shared" si="10"/>
        <v>Low</v>
      </c>
      <c r="V87" s="386">
        <f>IF(D87="","",VLOOKUP(S87,'G-3 Multipliers'!$P$3:$Q$6,2,FALSE))</f>
        <v>1</v>
      </c>
      <c r="W87" s="390">
        <f t="shared" si="11"/>
        <v>1.8057675733258933</v>
      </c>
      <c r="X87" s="117"/>
      <c r="Y87" s="118"/>
      <c r="Z87" s="120"/>
      <c r="AG87" s="30" t="str">
        <f>IFERROR(INDEX('G-6 Hedgerow Data'!$BJ$3:$BJ$15,MATCH(D87,'G-6 Hedgerow Data'!$B$3:$B$15,0)),"")</f>
        <v>Hedgecond1</v>
      </c>
    </row>
    <row r="88" spans="2:33" ht="28.5" x14ac:dyDescent="0.2">
      <c r="B88" s="110">
        <v>77</v>
      </c>
      <c r="C88" s="167">
        <v>79</v>
      </c>
      <c r="D88" s="159" t="s">
        <v>171</v>
      </c>
      <c r="E88" s="139">
        <v>0.17252808062420372</v>
      </c>
      <c r="F88" s="411" t="str">
        <f>IF(D88="","",VLOOKUP(D88,'G-6 Hedgerow Data'!$B$2:$AG$15,2,FALSE))</f>
        <v>Medium</v>
      </c>
      <c r="G88" s="363">
        <f>IF(D88="","",VLOOKUP(D88,'G-6 Hedgerow Data'!$B$2:$AG$15,3,FALSE))</f>
        <v>4</v>
      </c>
      <c r="H88" s="114" t="s">
        <v>68</v>
      </c>
      <c r="I88" s="363">
        <f>IFERROR(VLOOKUP(H88,'G-1 All Habitats'!$Z$2:$AA$9,2,FALSE),"")</f>
        <v>3</v>
      </c>
      <c r="J88" s="114" t="s">
        <v>1037</v>
      </c>
      <c r="K88" s="382" t="str">
        <f>IF(J88="","",IF(VLOOKUP(J88,'G-3 Multipliers'!$L$3:$N$6,2,FALSE)=0,"Spatial Data Missing ⚠",VLOOKUP(J88,'G-3 Multipliers'!$L$3:$N$6,2,FALSE)))</f>
        <v>Low Strategic Significance</v>
      </c>
      <c r="L88" s="368">
        <f>IF(J88="","",IF(VLOOKUP(J88,'G-3 Multipliers'!$L$3:$N$6,3,FALSE)=0,"Spatial Data Missing ⚠",VLOOKUP(J88,'G-3 Multipliers'!$L$3:$N$6,3,FALSE)))</f>
        <v>1</v>
      </c>
      <c r="M88" s="362">
        <f>IF(OR(D88="",H88=""),"",(INDEX('G-6 Hedgerow Data'!$E$3:$I$15,MATCH(D88,'G-6 Hedgerow Data'!$B$3:$B$15,0),MATCH(H88,'G-6 Hedgerow Data'!$E$2:$I$2,0))))</f>
        <v>12</v>
      </c>
      <c r="N88" s="159"/>
      <c r="O88" s="159"/>
      <c r="P88" s="370" t="str">
        <f t="shared" si="7"/>
        <v>Standard time to target condition applied</v>
      </c>
      <c r="Q88" s="383">
        <f t="shared" si="8"/>
        <v>12</v>
      </c>
      <c r="R88" s="384">
        <f t="shared" si="6"/>
        <v>0.65212036070000001</v>
      </c>
      <c r="S88" s="398" t="str">
        <f>IF(D88="","",VLOOKUP(D88,'G-6 Hedgerow Data'!$B$3:$AG$15,31,FALSE))</f>
        <v>Low</v>
      </c>
      <c r="T88" s="370" t="str">
        <f t="shared" si="9"/>
        <v>Standard difficulty applied</v>
      </c>
      <c r="U88" s="370" t="str">
        <f t="shared" si="10"/>
        <v>Low</v>
      </c>
      <c r="V88" s="386">
        <f>IF(D88="","",VLOOKUP(S88,'G-3 Multipliers'!$P$3:$Q$6,2,FALSE))</f>
        <v>1</v>
      </c>
      <c r="W88" s="390">
        <f t="shared" si="11"/>
        <v>1.3501088900104128</v>
      </c>
      <c r="X88" s="117"/>
      <c r="Y88" s="118"/>
      <c r="Z88" s="120"/>
      <c r="AG88" s="30" t="str">
        <f>IFERROR(INDEX('G-6 Hedgerow Data'!$BJ$3:$BJ$15,MATCH(D88,'G-6 Hedgerow Data'!$B$3:$B$15,0)),"")</f>
        <v>Hedgecond1</v>
      </c>
    </row>
    <row r="89" spans="2:33" ht="28.5" x14ac:dyDescent="0.2">
      <c r="B89" s="110">
        <v>78</v>
      </c>
      <c r="C89" s="167">
        <v>81</v>
      </c>
      <c r="D89" s="159" t="s">
        <v>171</v>
      </c>
      <c r="E89" s="139">
        <v>4.0050904737231427E-2</v>
      </c>
      <c r="F89" s="411" t="str">
        <f>IF(D89="","",VLOOKUP(D89,'G-6 Hedgerow Data'!$B$2:$AG$15,2,FALSE))</f>
        <v>Medium</v>
      </c>
      <c r="G89" s="363">
        <f>IF(D89="","",VLOOKUP(D89,'G-6 Hedgerow Data'!$B$2:$AG$15,3,FALSE))</f>
        <v>4</v>
      </c>
      <c r="H89" s="114" t="s">
        <v>68</v>
      </c>
      <c r="I89" s="363">
        <f>IFERROR(VLOOKUP(H89,'G-1 All Habitats'!$Z$2:$AA$9,2,FALSE),"")</f>
        <v>3</v>
      </c>
      <c r="J89" s="114" t="s">
        <v>1037</v>
      </c>
      <c r="K89" s="382" t="str">
        <f>IF(J89="","",IF(VLOOKUP(J89,'G-3 Multipliers'!$L$3:$N$6,2,FALSE)=0,"Spatial Data Missing ⚠",VLOOKUP(J89,'G-3 Multipliers'!$L$3:$N$6,2,FALSE)))</f>
        <v>Low Strategic Significance</v>
      </c>
      <c r="L89" s="368">
        <f>IF(J89="","",IF(VLOOKUP(J89,'G-3 Multipliers'!$L$3:$N$6,3,FALSE)=0,"Spatial Data Missing ⚠",VLOOKUP(J89,'G-3 Multipliers'!$L$3:$N$6,3,FALSE)))</f>
        <v>1</v>
      </c>
      <c r="M89" s="362">
        <f>IF(OR(D89="",H89=""),"",(INDEX('G-6 Hedgerow Data'!$E$3:$I$15,MATCH(D89,'G-6 Hedgerow Data'!$B$3:$B$15,0),MATCH(H89,'G-6 Hedgerow Data'!$E$2:$I$2,0))))</f>
        <v>12</v>
      </c>
      <c r="N89" s="159"/>
      <c r="O89" s="159"/>
      <c r="P89" s="370" t="str">
        <f t="shared" si="7"/>
        <v>Standard time to target condition applied</v>
      </c>
      <c r="Q89" s="383">
        <f t="shared" si="8"/>
        <v>12</v>
      </c>
      <c r="R89" s="384">
        <f t="shared" si="6"/>
        <v>0.65212036070000001</v>
      </c>
      <c r="S89" s="398" t="str">
        <f>IF(D89="","",VLOOKUP(D89,'G-6 Hedgerow Data'!$B$3:$AG$15,31,FALSE))</f>
        <v>Low</v>
      </c>
      <c r="T89" s="370" t="str">
        <f t="shared" si="9"/>
        <v>Standard difficulty applied</v>
      </c>
      <c r="U89" s="370" t="str">
        <f t="shared" si="10"/>
        <v>Low</v>
      </c>
      <c r="V89" s="386">
        <f>IF(D89="","",VLOOKUP(S89,'G-3 Multipliers'!$P$3:$Q$6,2,FALSE))</f>
        <v>1</v>
      </c>
      <c r="W89" s="390">
        <f t="shared" si="11"/>
        <v>0.31341612532325636</v>
      </c>
      <c r="X89" s="117"/>
      <c r="Y89" s="118"/>
      <c r="Z89" s="120"/>
      <c r="AG89" s="30" t="str">
        <f>IFERROR(INDEX('G-6 Hedgerow Data'!$BJ$3:$BJ$15,MATCH(D89,'G-6 Hedgerow Data'!$B$3:$B$15,0)),"")</f>
        <v>Hedgecond1</v>
      </c>
    </row>
    <row r="90" spans="2:33" ht="28.5" x14ac:dyDescent="0.2">
      <c r="B90" s="110">
        <v>79</v>
      </c>
      <c r="C90" s="167">
        <v>82</v>
      </c>
      <c r="D90" s="159" t="s">
        <v>171</v>
      </c>
      <c r="E90" s="139">
        <v>0.14950462335065701</v>
      </c>
      <c r="F90" s="411" t="str">
        <f>IF(D90="","",VLOOKUP(D90,'G-6 Hedgerow Data'!$B$2:$AG$15,2,FALSE))</f>
        <v>Medium</v>
      </c>
      <c r="G90" s="363">
        <f>IF(D90="","",VLOOKUP(D90,'G-6 Hedgerow Data'!$B$2:$AG$15,3,FALSE))</f>
        <v>4</v>
      </c>
      <c r="H90" s="114" t="s">
        <v>68</v>
      </c>
      <c r="I90" s="363">
        <f>IFERROR(VLOOKUP(H90,'G-1 All Habitats'!$Z$2:$AA$9,2,FALSE),"")</f>
        <v>3</v>
      </c>
      <c r="J90" s="114" t="s">
        <v>1037</v>
      </c>
      <c r="K90" s="382" t="str">
        <f>IF(J90="","",IF(VLOOKUP(J90,'G-3 Multipliers'!$L$3:$N$6,2,FALSE)=0,"Spatial Data Missing ⚠",VLOOKUP(J90,'G-3 Multipliers'!$L$3:$N$6,2,FALSE)))</f>
        <v>Low Strategic Significance</v>
      </c>
      <c r="L90" s="368">
        <f>IF(J90="","",IF(VLOOKUP(J90,'G-3 Multipliers'!$L$3:$N$6,3,FALSE)=0,"Spatial Data Missing ⚠",VLOOKUP(J90,'G-3 Multipliers'!$L$3:$N$6,3,FALSE)))</f>
        <v>1</v>
      </c>
      <c r="M90" s="362">
        <f>IF(OR(D90="",H90=""),"",(INDEX('G-6 Hedgerow Data'!$E$3:$I$15,MATCH(D90,'G-6 Hedgerow Data'!$B$3:$B$15,0),MATCH(H90,'G-6 Hedgerow Data'!$E$2:$I$2,0))))</f>
        <v>12</v>
      </c>
      <c r="N90" s="159"/>
      <c r="O90" s="159"/>
      <c r="P90" s="370" t="str">
        <f t="shared" si="7"/>
        <v>Standard time to target condition applied</v>
      </c>
      <c r="Q90" s="383">
        <f t="shared" si="8"/>
        <v>12</v>
      </c>
      <c r="R90" s="384">
        <f t="shared" si="6"/>
        <v>0.65212036070000001</v>
      </c>
      <c r="S90" s="398" t="str">
        <f>IF(D90="","",VLOOKUP(D90,'G-6 Hedgerow Data'!$B$3:$AG$15,31,FALSE))</f>
        <v>Low</v>
      </c>
      <c r="T90" s="370" t="str">
        <f t="shared" si="9"/>
        <v>Standard difficulty applied</v>
      </c>
      <c r="U90" s="370" t="str">
        <f t="shared" si="10"/>
        <v>Low</v>
      </c>
      <c r="V90" s="386">
        <f>IF(D90="","",VLOOKUP(S90,'G-3 Multipliers'!$P$3:$Q$6,2,FALSE))</f>
        <v>1</v>
      </c>
      <c r="W90" s="390">
        <f t="shared" si="11"/>
        <v>1.1699401068689772</v>
      </c>
      <c r="X90" s="117"/>
      <c r="Y90" s="118"/>
      <c r="Z90" s="120"/>
      <c r="AG90" s="30" t="str">
        <f>IFERROR(INDEX('G-6 Hedgerow Data'!$BJ$3:$BJ$15,MATCH(D90,'G-6 Hedgerow Data'!$B$3:$B$15,0)),"")</f>
        <v>Hedgecond1</v>
      </c>
    </row>
    <row r="91" spans="2:33" ht="28.5" x14ac:dyDescent="0.2">
      <c r="B91" s="110">
        <v>80</v>
      </c>
      <c r="C91" s="167">
        <v>83</v>
      </c>
      <c r="D91" s="159" t="s">
        <v>171</v>
      </c>
      <c r="E91" s="139">
        <v>8.4107880081730771E-2</v>
      </c>
      <c r="F91" s="411" t="str">
        <f>IF(D91="","",VLOOKUP(D91,'G-6 Hedgerow Data'!$B$2:$AG$15,2,FALSE))</f>
        <v>Medium</v>
      </c>
      <c r="G91" s="363">
        <f>IF(D91="","",VLOOKUP(D91,'G-6 Hedgerow Data'!$B$2:$AG$15,3,FALSE))</f>
        <v>4</v>
      </c>
      <c r="H91" s="114" t="s">
        <v>68</v>
      </c>
      <c r="I91" s="363">
        <f>IFERROR(VLOOKUP(H91,'G-1 All Habitats'!$Z$2:$AA$9,2,FALSE),"")</f>
        <v>3</v>
      </c>
      <c r="J91" s="114" t="s">
        <v>1037</v>
      </c>
      <c r="K91" s="382" t="str">
        <f>IF(J91="","",IF(VLOOKUP(J91,'G-3 Multipliers'!$L$3:$N$6,2,FALSE)=0,"Spatial Data Missing ⚠",VLOOKUP(J91,'G-3 Multipliers'!$L$3:$N$6,2,FALSE)))</f>
        <v>Low Strategic Significance</v>
      </c>
      <c r="L91" s="368">
        <f>IF(J91="","",IF(VLOOKUP(J91,'G-3 Multipliers'!$L$3:$N$6,3,FALSE)=0,"Spatial Data Missing ⚠",VLOOKUP(J91,'G-3 Multipliers'!$L$3:$N$6,3,FALSE)))</f>
        <v>1</v>
      </c>
      <c r="M91" s="362">
        <f>IF(OR(D91="",H91=""),"",(INDEX('G-6 Hedgerow Data'!$E$3:$I$15,MATCH(D91,'G-6 Hedgerow Data'!$B$3:$B$15,0),MATCH(H91,'G-6 Hedgerow Data'!$E$2:$I$2,0))))</f>
        <v>12</v>
      </c>
      <c r="N91" s="159"/>
      <c r="O91" s="159"/>
      <c r="P91" s="370" t="str">
        <f t="shared" si="7"/>
        <v>Standard time to target condition applied</v>
      </c>
      <c r="Q91" s="383">
        <f t="shared" si="8"/>
        <v>12</v>
      </c>
      <c r="R91" s="384">
        <f t="shared" si="6"/>
        <v>0.65212036070000001</v>
      </c>
      <c r="S91" s="398" t="str">
        <f>IF(D91="","",VLOOKUP(D91,'G-6 Hedgerow Data'!$B$3:$AG$15,31,FALSE))</f>
        <v>Low</v>
      </c>
      <c r="T91" s="370" t="str">
        <f t="shared" si="9"/>
        <v>Standard difficulty applied</v>
      </c>
      <c r="U91" s="370" t="str">
        <f t="shared" si="10"/>
        <v>Low</v>
      </c>
      <c r="V91" s="386">
        <f>IF(D91="","",VLOOKUP(S91,'G-3 Multipliers'!$P$3:$Q$6,2,FALSE))</f>
        <v>1</v>
      </c>
      <c r="W91" s="390">
        <f t="shared" si="11"/>
        <v>0.65818153315932748</v>
      </c>
      <c r="X91" s="117"/>
      <c r="Y91" s="118"/>
      <c r="Z91" s="120"/>
      <c r="AG91" s="30" t="str">
        <f>IFERROR(INDEX('G-6 Hedgerow Data'!$BJ$3:$BJ$15,MATCH(D91,'G-6 Hedgerow Data'!$B$3:$B$15,0)),"")</f>
        <v>Hedgecond1</v>
      </c>
    </row>
    <row r="92" spans="2:33" ht="28.5" x14ac:dyDescent="0.2">
      <c r="B92" s="110">
        <v>81</v>
      </c>
      <c r="C92" s="167">
        <v>84</v>
      </c>
      <c r="D92" s="159" t="s">
        <v>171</v>
      </c>
      <c r="E92" s="139">
        <v>0.15016763327053828</v>
      </c>
      <c r="F92" s="411" t="str">
        <f>IF(D92="","",VLOOKUP(D92,'G-6 Hedgerow Data'!$B$2:$AG$15,2,FALSE))</f>
        <v>Medium</v>
      </c>
      <c r="G92" s="363">
        <f>IF(D92="","",VLOOKUP(D92,'G-6 Hedgerow Data'!$B$2:$AG$15,3,FALSE))</f>
        <v>4</v>
      </c>
      <c r="H92" s="114" t="s">
        <v>68</v>
      </c>
      <c r="I92" s="363">
        <f>IFERROR(VLOOKUP(H92,'G-1 All Habitats'!$Z$2:$AA$9,2,FALSE),"")</f>
        <v>3</v>
      </c>
      <c r="J92" s="114" t="s">
        <v>1037</v>
      </c>
      <c r="K92" s="382" t="str">
        <f>IF(J92="","",IF(VLOOKUP(J92,'G-3 Multipliers'!$L$3:$N$6,2,FALSE)=0,"Spatial Data Missing ⚠",VLOOKUP(J92,'G-3 Multipliers'!$L$3:$N$6,2,FALSE)))</f>
        <v>Low Strategic Significance</v>
      </c>
      <c r="L92" s="368">
        <f>IF(J92="","",IF(VLOOKUP(J92,'G-3 Multipliers'!$L$3:$N$6,3,FALSE)=0,"Spatial Data Missing ⚠",VLOOKUP(J92,'G-3 Multipliers'!$L$3:$N$6,3,FALSE)))</f>
        <v>1</v>
      </c>
      <c r="M92" s="362">
        <f>IF(OR(D92="",H92=""),"",(INDEX('G-6 Hedgerow Data'!$E$3:$I$15,MATCH(D92,'G-6 Hedgerow Data'!$B$3:$B$15,0),MATCH(H92,'G-6 Hedgerow Data'!$E$2:$I$2,0))))</f>
        <v>12</v>
      </c>
      <c r="N92" s="159"/>
      <c r="O92" s="159"/>
      <c r="P92" s="370" t="str">
        <f t="shared" si="7"/>
        <v>Standard time to target condition applied</v>
      </c>
      <c r="Q92" s="383">
        <f t="shared" si="8"/>
        <v>12</v>
      </c>
      <c r="R92" s="384">
        <f t="shared" si="6"/>
        <v>0.65212036070000001</v>
      </c>
      <c r="S92" s="398" t="str">
        <f>IF(D92="","",VLOOKUP(D92,'G-6 Hedgerow Data'!$B$3:$AG$15,31,FALSE))</f>
        <v>Low</v>
      </c>
      <c r="T92" s="370" t="str">
        <f t="shared" si="9"/>
        <v>Standard difficulty applied</v>
      </c>
      <c r="U92" s="370" t="str">
        <f t="shared" si="10"/>
        <v>Low</v>
      </c>
      <c r="V92" s="386">
        <f>IF(D92="","",VLOOKUP(S92,'G-3 Multipliers'!$P$3:$Q$6,2,FALSE))</f>
        <v>1</v>
      </c>
      <c r="W92" s="390">
        <f t="shared" si="11"/>
        <v>1.175128454086185</v>
      </c>
      <c r="X92" s="117"/>
      <c r="Y92" s="118"/>
      <c r="Z92" s="120"/>
      <c r="AG92" s="30" t="str">
        <f>IFERROR(INDEX('G-6 Hedgerow Data'!$BJ$3:$BJ$15,MATCH(D92,'G-6 Hedgerow Data'!$B$3:$B$15,0)),"")</f>
        <v>Hedgecond1</v>
      </c>
    </row>
    <row r="93" spans="2:33" ht="28.5" x14ac:dyDescent="0.2">
      <c r="B93" s="110">
        <v>82</v>
      </c>
      <c r="C93" s="167">
        <v>85</v>
      </c>
      <c r="D93" s="159" t="s">
        <v>171</v>
      </c>
      <c r="E93" s="139">
        <v>0.1996298031166025</v>
      </c>
      <c r="F93" s="411" t="str">
        <f>IF(D93="","",VLOOKUP(D93,'G-6 Hedgerow Data'!$B$2:$AG$15,2,FALSE))</f>
        <v>Medium</v>
      </c>
      <c r="G93" s="363">
        <f>IF(D93="","",VLOOKUP(D93,'G-6 Hedgerow Data'!$B$2:$AG$15,3,FALSE))</f>
        <v>4</v>
      </c>
      <c r="H93" s="114" t="s">
        <v>68</v>
      </c>
      <c r="I93" s="363">
        <f>IFERROR(VLOOKUP(H93,'G-1 All Habitats'!$Z$2:$AA$9,2,FALSE),"")</f>
        <v>3</v>
      </c>
      <c r="J93" s="114" t="s">
        <v>1037</v>
      </c>
      <c r="K93" s="382" t="str">
        <f>IF(J93="","",IF(VLOOKUP(J93,'G-3 Multipliers'!$L$3:$N$6,2,FALSE)=0,"Spatial Data Missing ⚠",VLOOKUP(J93,'G-3 Multipliers'!$L$3:$N$6,2,FALSE)))</f>
        <v>Low Strategic Significance</v>
      </c>
      <c r="L93" s="368">
        <f>IF(J93="","",IF(VLOOKUP(J93,'G-3 Multipliers'!$L$3:$N$6,3,FALSE)=0,"Spatial Data Missing ⚠",VLOOKUP(J93,'G-3 Multipliers'!$L$3:$N$6,3,FALSE)))</f>
        <v>1</v>
      </c>
      <c r="M93" s="362">
        <f>IF(OR(D93="",H93=""),"",(INDEX('G-6 Hedgerow Data'!$E$3:$I$15,MATCH(D93,'G-6 Hedgerow Data'!$B$3:$B$15,0),MATCH(H93,'G-6 Hedgerow Data'!$E$2:$I$2,0))))</f>
        <v>12</v>
      </c>
      <c r="N93" s="159"/>
      <c r="O93" s="159"/>
      <c r="P93" s="370" t="str">
        <f t="shared" si="7"/>
        <v>Standard time to target condition applied</v>
      </c>
      <c r="Q93" s="383">
        <f t="shared" si="8"/>
        <v>12</v>
      </c>
      <c r="R93" s="384">
        <f t="shared" si="6"/>
        <v>0.65212036070000001</v>
      </c>
      <c r="S93" s="398" t="str">
        <f>IF(D93="","",VLOOKUP(D93,'G-6 Hedgerow Data'!$B$3:$AG$15,31,FALSE))</f>
        <v>Low</v>
      </c>
      <c r="T93" s="370" t="str">
        <f t="shared" si="9"/>
        <v>Standard difficulty applied</v>
      </c>
      <c r="U93" s="370" t="str">
        <f t="shared" si="10"/>
        <v>Low</v>
      </c>
      <c r="V93" s="386">
        <f>IF(D93="","",VLOOKUP(S93,'G-3 Multipliers'!$P$3:$Q$6,2,FALSE))</f>
        <v>1</v>
      </c>
      <c r="W93" s="390">
        <f t="shared" si="11"/>
        <v>1.5621919105784257</v>
      </c>
      <c r="X93" s="117"/>
      <c r="Y93" s="118"/>
      <c r="Z93" s="120"/>
      <c r="AG93" s="30" t="str">
        <f>IFERROR(INDEX('G-6 Hedgerow Data'!$BJ$3:$BJ$15,MATCH(D93,'G-6 Hedgerow Data'!$B$3:$B$15,0)),"")</f>
        <v>Hedgecond1</v>
      </c>
    </row>
    <row r="94" spans="2:33" ht="28.5" x14ac:dyDescent="0.2">
      <c r="B94" s="110">
        <v>83</v>
      </c>
      <c r="C94" s="167">
        <v>86</v>
      </c>
      <c r="D94" s="159" t="s">
        <v>171</v>
      </c>
      <c r="E94" s="139">
        <v>0.23286869134932492</v>
      </c>
      <c r="F94" s="411" t="str">
        <f>IF(D94="","",VLOOKUP(D94,'G-6 Hedgerow Data'!$B$2:$AG$15,2,FALSE))</f>
        <v>Medium</v>
      </c>
      <c r="G94" s="363">
        <f>IF(D94="","",VLOOKUP(D94,'G-6 Hedgerow Data'!$B$2:$AG$15,3,FALSE))</f>
        <v>4</v>
      </c>
      <c r="H94" s="114" t="s">
        <v>68</v>
      </c>
      <c r="I94" s="363">
        <f>IFERROR(VLOOKUP(H94,'G-1 All Habitats'!$Z$2:$AA$9,2,FALSE),"")</f>
        <v>3</v>
      </c>
      <c r="J94" s="114" t="s">
        <v>1037</v>
      </c>
      <c r="K94" s="382" t="str">
        <f>IF(J94="","",IF(VLOOKUP(J94,'G-3 Multipliers'!$L$3:$N$6,2,FALSE)=0,"Spatial Data Missing ⚠",VLOOKUP(J94,'G-3 Multipliers'!$L$3:$N$6,2,FALSE)))</f>
        <v>Low Strategic Significance</v>
      </c>
      <c r="L94" s="368">
        <f>IF(J94="","",IF(VLOOKUP(J94,'G-3 Multipliers'!$L$3:$N$6,3,FALSE)=0,"Spatial Data Missing ⚠",VLOOKUP(J94,'G-3 Multipliers'!$L$3:$N$6,3,FALSE)))</f>
        <v>1</v>
      </c>
      <c r="M94" s="362">
        <f>IF(OR(D94="",H94=""),"",(INDEX('G-6 Hedgerow Data'!$E$3:$I$15,MATCH(D94,'G-6 Hedgerow Data'!$B$3:$B$15,0),MATCH(H94,'G-6 Hedgerow Data'!$E$2:$I$2,0))))</f>
        <v>12</v>
      </c>
      <c r="N94" s="159"/>
      <c r="O94" s="159"/>
      <c r="P94" s="370" t="str">
        <f t="shared" si="7"/>
        <v>Standard time to target condition applied</v>
      </c>
      <c r="Q94" s="383">
        <f t="shared" si="8"/>
        <v>12</v>
      </c>
      <c r="R94" s="384">
        <f t="shared" si="6"/>
        <v>0.65212036070000001</v>
      </c>
      <c r="S94" s="398" t="str">
        <f>IF(D94="","",VLOOKUP(D94,'G-6 Hedgerow Data'!$B$3:$AG$15,31,FALSE))</f>
        <v>Low</v>
      </c>
      <c r="T94" s="370" t="str">
        <f t="shared" si="9"/>
        <v>Standard difficulty applied</v>
      </c>
      <c r="U94" s="370" t="str">
        <f t="shared" si="10"/>
        <v>Low</v>
      </c>
      <c r="V94" s="386">
        <f>IF(D94="","",VLOOKUP(S94,'G-3 Multipliers'!$P$3:$Q$6,2,FALSE))</f>
        <v>1</v>
      </c>
      <c r="W94" s="390">
        <f t="shared" si="11"/>
        <v>1.8223009799815046</v>
      </c>
      <c r="X94" s="117"/>
      <c r="Y94" s="118"/>
      <c r="Z94" s="120"/>
      <c r="AG94" s="30" t="str">
        <f>IFERROR(INDEX('G-6 Hedgerow Data'!$BJ$3:$BJ$15,MATCH(D94,'G-6 Hedgerow Data'!$B$3:$B$15,0)),"")</f>
        <v>Hedgecond1</v>
      </c>
    </row>
    <row r="95" spans="2:33" ht="28.5" x14ac:dyDescent="0.2">
      <c r="B95" s="110">
        <v>84</v>
      </c>
      <c r="C95" s="167">
        <v>87</v>
      </c>
      <c r="D95" s="159" t="s">
        <v>171</v>
      </c>
      <c r="E95" s="139">
        <v>0.3740203986308277</v>
      </c>
      <c r="F95" s="411" t="str">
        <f>IF(D95="","",VLOOKUP(D95,'G-6 Hedgerow Data'!$B$2:$AG$15,2,FALSE))</f>
        <v>Medium</v>
      </c>
      <c r="G95" s="363">
        <f>IF(D95="","",VLOOKUP(D95,'G-6 Hedgerow Data'!$B$2:$AG$15,3,FALSE))</f>
        <v>4</v>
      </c>
      <c r="H95" s="114" t="s">
        <v>68</v>
      </c>
      <c r="I95" s="363">
        <f>IFERROR(VLOOKUP(H95,'G-1 All Habitats'!$Z$2:$AA$9,2,FALSE),"")</f>
        <v>3</v>
      </c>
      <c r="J95" s="114" t="s">
        <v>1037</v>
      </c>
      <c r="K95" s="382" t="str">
        <f>IF(J95="","",IF(VLOOKUP(J95,'G-3 Multipliers'!$L$3:$N$6,2,FALSE)=0,"Spatial Data Missing ⚠",VLOOKUP(J95,'G-3 Multipliers'!$L$3:$N$6,2,FALSE)))</f>
        <v>Low Strategic Significance</v>
      </c>
      <c r="L95" s="368">
        <f>IF(J95="","",IF(VLOOKUP(J95,'G-3 Multipliers'!$L$3:$N$6,3,FALSE)=0,"Spatial Data Missing ⚠",VLOOKUP(J95,'G-3 Multipliers'!$L$3:$N$6,3,FALSE)))</f>
        <v>1</v>
      </c>
      <c r="M95" s="362">
        <f>IF(OR(D95="",H95=""),"",(INDEX('G-6 Hedgerow Data'!$E$3:$I$15,MATCH(D95,'G-6 Hedgerow Data'!$B$3:$B$15,0),MATCH(H95,'G-6 Hedgerow Data'!$E$2:$I$2,0))))</f>
        <v>12</v>
      </c>
      <c r="N95" s="159"/>
      <c r="O95" s="159"/>
      <c r="P95" s="370" t="str">
        <f t="shared" si="7"/>
        <v>Standard time to target condition applied</v>
      </c>
      <c r="Q95" s="383">
        <f t="shared" si="8"/>
        <v>12</v>
      </c>
      <c r="R95" s="384">
        <f t="shared" si="6"/>
        <v>0.65212036070000001</v>
      </c>
      <c r="S95" s="398" t="str">
        <f>IF(D95="","",VLOOKUP(D95,'G-6 Hedgerow Data'!$B$3:$AG$15,31,FALSE))</f>
        <v>Low</v>
      </c>
      <c r="T95" s="370" t="str">
        <f t="shared" si="9"/>
        <v>Standard difficulty applied</v>
      </c>
      <c r="U95" s="370" t="str">
        <f t="shared" si="10"/>
        <v>Low</v>
      </c>
      <c r="V95" s="386">
        <f>IF(D95="","",VLOOKUP(S95,'G-3 Multipliers'!$P$3:$Q$6,2,FALSE))</f>
        <v>1</v>
      </c>
      <c r="W95" s="390">
        <f t="shared" si="11"/>
        <v>2.926875807171518</v>
      </c>
      <c r="X95" s="117"/>
      <c r="Y95" s="118"/>
      <c r="Z95" s="120"/>
      <c r="AG95" s="30" t="str">
        <f>IFERROR(INDEX('G-6 Hedgerow Data'!$BJ$3:$BJ$15,MATCH(D95,'G-6 Hedgerow Data'!$B$3:$B$15,0)),"")</f>
        <v>Hedgecond1</v>
      </c>
    </row>
    <row r="96" spans="2:33" ht="28.5" x14ac:dyDescent="0.2">
      <c r="B96" s="110">
        <v>85</v>
      </c>
      <c r="C96" s="167">
        <v>88</v>
      </c>
      <c r="D96" s="159" t="s">
        <v>171</v>
      </c>
      <c r="E96" s="139">
        <v>0.1516773530296405</v>
      </c>
      <c r="F96" s="411" t="str">
        <f>IF(D96="","",VLOOKUP(D96,'G-6 Hedgerow Data'!$B$2:$AG$15,2,FALSE))</f>
        <v>Medium</v>
      </c>
      <c r="G96" s="363">
        <f>IF(D96="","",VLOOKUP(D96,'G-6 Hedgerow Data'!$B$2:$AG$15,3,FALSE))</f>
        <v>4</v>
      </c>
      <c r="H96" s="114" t="s">
        <v>68</v>
      </c>
      <c r="I96" s="363">
        <f>IFERROR(VLOOKUP(H96,'G-1 All Habitats'!$Z$2:$AA$9,2,FALSE),"")</f>
        <v>3</v>
      </c>
      <c r="J96" s="114" t="s">
        <v>1037</v>
      </c>
      <c r="K96" s="382" t="str">
        <f>IF(J96="","",IF(VLOOKUP(J96,'G-3 Multipliers'!$L$3:$N$6,2,FALSE)=0,"Spatial Data Missing ⚠",VLOOKUP(J96,'G-3 Multipliers'!$L$3:$N$6,2,FALSE)))</f>
        <v>Low Strategic Significance</v>
      </c>
      <c r="L96" s="368">
        <f>IF(J96="","",IF(VLOOKUP(J96,'G-3 Multipliers'!$L$3:$N$6,3,FALSE)=0,"Spatial Data Missing ⚠",VLOOKUP(J96,'G-3 Multipliers'!$L$3:$N$6,3,FALSE)))</f>
        <v>1</v>
      </c>
      <c r="M96" s="362">
        <f>IF(OR(D96="",H96=""),"",(INDEX('G-6 Hedgerow Data'!$E$3:$I$15,MATCH(D96,'G-6 Hedgerow Data'!$B$3:$B$15,0),MATCH(H96,'G-6 Hedgerow Data'!$E$2:$I$2,0))))</f>
        <v>12</v>
      </c>
      <c r="N96" s="159"/>
      <c r="O96" s="159"/>
      <c r="P96" s="370" t="str">
        <f t="shared" si="7"/>
        <v>Standard time to target condition applied</v>
      </c>
      <c r="Q96" s="383">
        <f t="shared" si="8"/>
        <v>12</v>
      </c>
      <c r="R96" s="384">
        <f t="shared" si="6"/>
        <v>0.65212036070000001</v>
      </c>
      <c r="S96" s="398" t="str">
        <f>IF(D96="","",VLOOKUP(D96,'G-6 Hedgerow Data'!$B$3:$AG$15,31,FALSE))</f>
        <v>Low</v>
      </c>
      <c r="T96" s="370" t="str">
        <f t="shared" si="9"/>
        <v>Standard difficulty applied</v>
      </c>
      <c r="U96" s="370" t="str">
        <f t="shared" si="10"/>
        <v>Low</v>
      </c>
      <c r="V96" s="386">
        <f>IF(D96="","",VLOOKUP(S96,'G-3 Multipliers'!$P$3:$Q$6,2,FALSE))</f>
        <v>1</v>
      </c>
      <c r="W96" s="390">
        <f t="shared" si="11"/>
        <v>1.1869426820125248</v>
      </c>
      <c r="X96" s="117"/>
      <c r="Y96" s="118"/>
      <c r="Z96" s="120"/>
      <c r="AG96" s="30" t="str">
        <f>IFERROR(INDEX('G-6 Hedgerow Data'!$BJ$3:$BJ$15,MATCH(D96,'G-6 Hedgerow Data'!$B$3:$B$15,0)),"")</f>
        <v>Hedgecond1</v>
      </c>
    </row>
    <row r="97" spans="2:33" ht="28.5" x14ac:dyDescent="0.2">
      <c r="B97" s="110">
        <v>86</v>
      </c>
      <c r="C97" s="167">
        <v>89</v>
      </c>
      <c r="D97" s="159" t="s">
        <v>171</v>
      </c>
      <c r="E97" s="139">
        <v>0.13961305053327419</v>
      </c>
      <c r="F97" s="411" t="str">
        <f>IF(D97="","",VLOOKUP(D97,'G-6 Hedgerow Data'!$B$2:$AG$15,2,FALSE))</f>
        <v>Medium</v>
      </c>
      <c r="G97" s="363">
        <f>IF(D97="","",VLOOKUP(D97,'G-6 Hedgerow Data'!$B$2:$AG$15,3,FALSE))</f>
        <v>4</v>
      </c>
      <c r="H97" s="114" t="s">
        <v>68</v>
      </c>
      <c r="I97" s="363">
        <f>IFERROR(VLOOKUP(H97,'G-1 All Habitats'!$Z$2:$AA$9,2,FALSE),"")</f>
        <v>3</v>
      </c>
      <c r="J97" s="114" t="s">
        <v>1037</v>
      </c>
      <c r="K97" s="382" t="str">
        <f>IF(J97="","",IF(VLOOKUP(J97,'G-3 Multipliers'!$L$3:$N$6,2,FALSE)=0,"Spatial Data Missing ⚠",VLOOKUP(J97,'G-3 Multipliers'!$L$3:$N$6,2,FALSE)))</f>
        <v>Low Strategic Significance</v>
      </c>
      <c r="L97" s="368">
        <f>IF(J97="","",IF(VLOOKUP(J97,'G-3 Multipliers'!$L$3:$N$6,3,FALSE)=0,"Spatial Data Missing ⚠",VLOOKUP(J97,'G-3 Multipliers'!$L$3:$N$6,3,FALSE)))</f>
        <v>1</v>
      </c>
      <c r="M97" s="362">
        <f>IF(OR(D97="",H97=""),"",(INDEX('G-6 Hedgerow Data'!$E$3:$I$15,MATCH(D97,'G-6 Hedgerow Data'!$B$3:$B$15,0),MATCH(H97,'G-6 Hedgerow Data'!$E$2:$I$2,0))))</f>
        <v>12</v>
      </c>
      <c r="N97" s="159"/>
      <c r="O97" s="159"/>
      <c r="P97" s="370" t="str">
        <f t="shared" si="7"/>
        <v>Standard time to target condition applied</v>
      </c>
      <c r="Q97" s="383">
        <f t="shared" si="8"/>
        <v>12</v>
      </c>
      <c r="R97" s="384">
        <f t="shared" si="6"/>
        <v>0.65212036070000001</v>
      </c>
      <c r="S97" s="398" t="str">
        <f>IF(D97="","",VLOOKUP(D97,'G-6 Hedgerow Data'!$B$3:$AG$15,31,FALSE))</f>
        <v>Low</v>
      </c>
      <c r="T97" s="370" t="str">
        <f t="shared" si="9"/>
        <v>Standard difficulty applied</v>
      </c>
      <c r="U97" s="370" t="str">
        <f t="shared" si="10"/>
        <v>Low</v>
      </c>
      <c r="V97" s="386">
        <f>IF(D97="","",VLOOKUP(S97,'G-3 Multipliers'!$P$3:$Q$6,2,FALSE))</f>
        <v>1</v>
      </c>
      <c r="W97" s="390">
        <f t="shared" si="11"/>
        <v>1.092534154466233</v>
      </c>
      <c r="X97" s="117"/>
      <c r="Y97" s="118"/>
      <c r="Z97" s="120"/>
      <c r="AG97" s="30" t="str">
        <f>IFERROR(INDEX('G-6 Hedgerow Data'!$BJ$3:$BJ$15,MATCH(D97,'G-6 Hedgerow Data'!$B$3:$B$15,0)),"")</f>
        <v>Hedgecond1</v>
      </c>
    </row>
    <row r="98" spans="2:33" ht="28.5" x14ac:dyDescent="0.2">
      <c r="B98" s="110">
        <v>87</v>
      </c>
      <c r="C98" s="167">
        <v>90</v>
      </c>
      <c r="D98" s="159" t="s">
        <v>171</v>
      </c>
      <c r="E98" s="139">
        <v>0.15394079073905459</v>
      </c>
      <c r="F98" s="411" t="str">
        <f>IF(D98="","",VLOOKUP(D98,'G-6 Hedgerow Data'!$B$2:$AG$15,2,FALSE))</f>
        <v>Medium</v>
      </c>
      <c r="G98" s="363">
        <f>IF(D98="","",VLOOKUP(D98,'G-6 Hedgerow Data'!$B$2:$AG$15,3,FALSE))</f>
        <v>4</v>
      </c>
      <c r="H98" s="114" t="s">
        <v>68</v>
      </c>
      <c r="I98" s="363">
        <f>IFERROR(VLOOKUP(H98,'G-1 All Habitats'!$Z$2:$AA$9,2,FALSE),"")</f>
        <v>3</v>
      </c>
      <c r="J98" s="114" t="s">
        <v>1037</v>
      </c>
      <c r="K98" s="382" t="str">
        <f>IF(J98="","",IF(VLOOKUP(J98,'G-3 Multipliers'!$L$3:$N$6,2,FALSE)=0,"Spatial Data Missing ⚠",VLOOKUP(J98,'G-3 Multipliers'!$L$3:$N$6,2,FALSE)))</f>
        <v>Low Strategic Significance</v>
      </c>
      <c r="L98" s="368">
        <f>IF(J98="","",IF(VLOOKUP(J98,'G-3 Multipliers'!$L$3:$N$6,3,FALSE)=0,"Spatial Data Missing ⚠",VLOOKUP(J98,'G-3 Multipliers'!$L$3:$N$6,3,FALSE)))</f>
        <v>1</v>
      </c>
      <c r="M98" s="362">
        <f>IF(OR(D98="",H98=""),"",(INDEX('G-6 Hedgerow Data'!$E$3:$I$15,MATCH(D98,'G-6 Hedgerow Data'!$B$3:$B$15,0),MATCH(H98,'G-6 Hedgerow Data'!$E$2:$I$2,0))))</f>
        <v>12</v>
      </c>
      <c r="N98" s="159"/>
      <c r="O98" s="159"/>
      <c r="P98" s="370" t="str">
        <f t="shared" si="7"/>
        <v>Standard time to target condition applied</v>
      </c>
      <c r="Q98" s="383">
        <f t="shared" si="8"/>
        <v>12</v>
      </c>
      <c r="R98" s="384">
        <f t="shared" si="6"/>
        <v>0.65212036070000001</v>
      </c>
      <c r="S98" s="398" t="str">
        <f>IF(D98="","",VLOOKUP(D98,'G-6 Hedgerow Data'!$B$3:$AG$15,31,FALSE))</f>
        <v>Low</v>
      </c>
      <c r="T98" s="370" t="str">
        <f t="shared" si="9"/>
        <v>Standard difficulty applied</v>
      </c>
      <c r="U98" s="370" t="str">
        <f t="shared" si="10"/>
        <v>Low</v>
      </c>
      <c r="V98" s="386">
        <f>IF(D98="","",VLOOKUP(S98,'G-3 Multipliers'!$P$3:$Q$6,2,FALSE))</f>
        <v>1</v>
      </c>
      <c r="W98" s="390">
        <f t="shared" si="11"/>
        <v>1.204655087798346</v>
      </c>
      <c r="X98" s="117"/>
      <c r="Y98" s="118"/>
      <c r="Z98" s="120"/>
      <c r="AG98" s="30" t="str">
        <f>IFERROR(INDEX('G-6 Hedgerow Data'!$BJ$3:$BJ$15,MATCH(D98,'G-6 Hedgerow Data'!$B$3:$B$15,0)),"")</f>
        <v>Hedgecond1</v>
      </c>
    </row>
    <row r="99" spans="2:33" ht="28.5" x14ac:dyDescent="0.2">
      <c r="B99" s="110">
        <v>88</v>
      </c>
      <c r="C99" s="167">
        <v>91</v>
      </c>
      <c r="D99" s="159" t="s">
        <v>171</v>
      </c>
      <c r="E99" s="139">
        <v>0.14092155551706231</v>
      </c>
      <c r="F99" s="411" t="str">
        <f>IF(D99="","",VLOOKUP(D99,'G-6 Hedgerow Data'!$B$2:$AG$15,2,FALSE))</f>
        <v>Medium</v>
      </c>
      <c r="G99" s="363">
        <f>IF(D99="","",VLOOKUP(D99,'G-6 Hedgerow Data'!$B$2:$AG$15,3,FALSE))</f>
        <v>4</v>
      </c>
      <c r="H99" s="114" t="s">
        <v>68</v>
      </c>
      <c r="I99" s="363">
        <f>IFERROR(VLOOKUP(H99,'G-1 All Habitats'!$Z$2:$AA$9,2,FALSE),"")</f>
        <v>3</v>
      </c>
      <c r="J99" s="114" t="s">
        <v>1037</v>
      </c>
      <c r="K99" s="382" t="str">
        <f>IF(J99="","",IF(VLOOKUP(J99,'G-3 Multipliers'!$L$3:$N$6,2,FALSE)=0,"Spatial Data Missing ⚠",VLOOKUP(J99,'G-3 Multipliers'!$L$3:$N$6,2,FALSE)))</f>
        <v>Low Strategic Significance</v>
      </c>
      <c r="L99" s="368">
        <f>IF(J99="","",IF(VLOOKUP(J99,'G-3 Multipliers'!$L$3:$N$6,3,FALSE)=0,"Spatial Data Missing ⚠",VLOOKUP(J99,'G-3 Multipliers'!$L$3:$N$6,3,FALSE)))</f>
        <v>1</v>
      </c>
      <c r="M99" s="362">
        <f>IF(OR(D99="",H99=""),"",(INDEX('G-6 Hedgerow Data'!$E$3:$I$15,MATCH(D99,'G-6 Hedgerow Data'!$B$3:$B$15,0),MATCH(H99,'G-6 Hedgerow Data'!$E$2:$I$2,0))))</f>
        <v>12</v>
      </c>
      <c r="N99" s="159"/>
      <c r="O99" s="159"/>
      <c r="P99" s="370" t="str">
        <f t="shared" si="7"/>
        <v>Standard time to target condition applied</v>
      </c>
      <c r="Q99" s="383">
        <f t="shared" si="8"/>
        <v>12</v>
      </c>
      <c r="R99" s="384">
        <f t="shared" si="6"/>
        <v>0.65212036070000001</v>
      </c>
      <c r="S99" s="398" t="str">
        <f>IF(D99="","",VLOOKUP(D99,'G-6 Hedgerow Data'!$B$3:$AG$15,31,FALSE))</f>
        <v>Low</v>
      </c>
      <c r="T99" s="370" t="str">
        <f t="shared" si="9"/>
        <v>Standard difficulty applied</v>
      </c>
      <c r="U99" s="370" t="str">
        <f t="shared" si="10"/>
        <v>Low</v>
      </c>
      <c r="V99" s="386">
        <f>IF(D99="","",VLOOKUP(S99,'G-3 Multipliers'!$P$3:$Q$6,2,FALSE))</f>
        <v>1</v>
      </c>
      <c r="W99" s="390">
        <f t="shared" si="11"/>
        <v>1.102773787370301</v>
      </c>
      <c r="X99" s="117"/>
      <c r="Y99" s="118"/>
      <c r="Z99" s="120"/>
      <c r="AG99" s="30" t="str">
        <f>IFERROR(INDEX('G-6 Hedgerow Data'!$BJ$3:$BJ$15,MATCH(D99,'G-6 Hedgerow Data'!$B$3:$B$15,0)),"")</f>
        <v>Hedgecond1</v>
      </c>
    </row>
    <row r="100" spans="2:33" ht="28.5" x14ac:dyDescent="0.2">
      <c r="B100" s="110">
        <v>89</v>
      </c>
      <c r="C100" s="167">
        <v>92</v>
      </c>
      <c r="D100" s="159" t="s">
        <v>171</v>
      </c>
      <c r="E100" s="139">
        <v>9.475544606110279E-3</v>
      </c>
      <c r="F100" s="411" t="str">
        <f>IF(D100="","",VLOOKUP(D100,'G-6 Hedgerow Data'!$B$2:$AG$15,2,FALSE))</f>
        <v>Medium</v>
      </c>
      <c r="G100" s="363">
        <f>IF(D100="","",VLOOKUP(D100,'G-6 Hedgerow Data'!$B$2:$AG$15,3,FALSE))</f>
        <v>4</v>
      </c>
      <c r="H100" s="114" t="s">
        <v>68</v>
      </c>
      <c r="I100" s="363">
        <f>IFERROR(VLOOKUP(H100,'G-1 All Habitats'!$Z$2:$AA$9,2,FALSE),"")</f>
        <v>3</v>
      </c>
      <c r="J100" s="114" t="s">
        <v>1037</v>
      </c>
      <c r="K100" s="382" t="str">
        <f>IF(J100="","",IF(VLOOKUP(J100,'G-3 Multipliers'!$L$3:$N$6,2,FALSE)=0,"Spatial Data Missing ⚠",VLOOKUP(J100,'G-3 Multipliers'!$L$3:$N$6,2,FALSE)))</f>
        <v>Low Strategic Significance</v>
      </c>
      <c r="L100" s="368">
        <f>IF(J100="","",IF(VLOOKUP(J100,'G-3 Multipliers'!$L$3:$N$6,3,FALSE)=0,"Spatial Data Missing ⚠",VLOOKUP(J100,'G-3 Multipliers'!$L$3:$N$6,3,FALSE)))</f>
        <v>1</v>
      </c>
      <c r="M100" s="362">
        <f>IF(OR(D100="",H100=""),"",(INDEX('G-6 Hedgerow Data'!$E$3:$I$15,MATCH(D100,'G-6 Hedgerow Data'!$B$3:$B$15,0),MATCH(H100,'G-6 Hedgerow Data'!$E$2:$I$2,0))))</f>
        <v>12</v>
      </c>
      <c r="N100" s="159"/>
      <c r="O100" s="159"/>
      <c r="P100" s="370" t="str">
        <f t="shared" si="7"/>
        <v>Standard time to target condition applied</v>
      </c>
      <c r="Q100" s="383">
        <f t="shared" si="8"/>
        <v>12</v>
      </c>
      <c r="R100" s="384">
        <f t="shared" si="6"/>
        <v>0.65212036070000001</v>
      </c>
      <c r="S100" s="398" t="str">
        <f>IF(D100="","",VLOOKUP(D100,'G-6 Hedgerow Data'!$B$3:$AG$15,31,FALSE))</f>
        <v>Low</v>
      </c>
      <c r="T100" s="370" t="str">
        <f t="shared" si="9"/>
        <v>Standard difficulty applied</v>
      </c>
      <c r="U100" s="370" t="str">
        <f t="shared" si="10"/>
        <v>Low</v>
      </c>
      <c r="V100" s="386">
        <f>IF(D100="","",VLOOKUP(S100,'G-3 Multipliers'!$P$3:$Q$6,2,FALSE))</f>
        <v>1</v>
      </c>
      <c r="W100" s="390">
        <f t="shared" si="11"/>
        <v>7.4150346796386893E-2</v>
      </c>
      <c r="X100" s="117"/>
      <c r="Y100" s="118"/>
      <c r="Z100" s="120"/>
      <c r="AG100" s="30" t="str">
        <f>IFERROR(INDEX('G-6 Hedgerow Data'!$BJ$3:$BJ$15,MATCH(D100,'G-6 Hedgerow Data'!$B$3:$B$15,0)),"")</f>
        <v>Hedgecond1</v>
      </c>
    </row>
    <row r="101" spans="2:33" ht="28.5" x14ac:dyDescent="0.2">
      <c r="B101" s="110">
        <v>90</v>
      </c>
      <c r="C101" s="167">
        <v>93</v>
      </c>
      <c r="D101" s="159" t="s">
        <v>171</v>
      </c>
      <c r="E101" s="139">
        <v>0.33924670885156727</v>
      </c>
      <c r="F101" s="411" t="str">
        <f>IF(D101="","",VLOOKUP(D101,'G-6 Hedgerow Data'!$B$2:$AG$15,2,FALSE))</f>
        <v>Medium</v>
      </c>
      <c r="G101" s="363">
        <f>IF(D101="","",VLOOKUP(D101,'G-6 Hedgerow Data'!$B$2:$AG$15,3,FALSE))</f>
        <v>4</v>
      </c>
      <c r="H101" s="114" t="s">
        <v>68</v>
      </c>
      <c r="I101" s="363">
        <f>IFERROR(VLOOKUP(H101,'G-1 All Habitats'!$Z$2:$AA$9,2,FALSE),"")</f>
        <v>3</v>
      </c>
      <c r="J101" s="114" t="s">
        <v>1037</v>
      </c>
      <c r="K101" s="382" t="str">
        <f>IF(J101="","",IF(VLOOKUP(J101,'G-3 Multipliers'!$L$3:$N$6,2,FALSE)=0,"Spatial Data Missing ⚠",VLOOKUP(J101,'G-3 Multipliers'!$L$3:$N$6,2,FALSE)))</f>
        <v>Low Strategic Significance</v>
      </c>
      <c r="L101" s="368">
        <f>IF(J101="","",IF(VLOOKUP(J101,'G-3 Multipliers'!$L$3:$N$6,3,FALSE)=0,"Spatial Data Missing ⚠",VLOOKUP(J101,'G-3 Multipliers'!$L$3:$N$6,3,FALSE)))</f>
        <v>1</v>
      </c>
      <c r="M101" s="362">
        <f>IF(OR(D101="",H101=""),"",(INDEX('G-6 Hedgerow Data'!$E$3:$I$15,MATCH(D101,'G-6 Hedgerow Data'!$B$3:$B$15,0),MATCH(H101,'G-6 Hedgerow Data'!$E$2:$I$2,0))))</f>
        <v>12</v>
      </c>
      <c r="N101" s="159"/>
      <c r="O101" s="159"/>
      <c r="P101" s="370" t="str">
        <f t="shared" si="7"/>
        <v>Standard time to target condition applied</v>
      </c>
      <c r="Q101" s="383">
        <f t="shared" si="8"/>
        <v>12</v>
      </c>
      <c r="R101" s="384">
        <f t="shared" si="6"/>
        <v>0.65212036070000001</v>
      </c>
      <c r="S101" s="398" t="str">
        <f>IF(D101="","",VLOOKUP(D101,'G-6 Hedgerow Data'!$B$3:$AG$15,31,FALSE))</f>
        <v>Low</v>
      </c>
      <c r="T101" s="370" t="str">
        <f t="shared" si="9"/>
        <v>Standard difficulty applied</v>
      </c>
      <c r="U101" s="370" t="str">
        <f t="shared" si="10"/>
        <v>Low</v>
      </c>
      <c r="V101" s="386">
        <f>IF(D101="","",VLOOKUP(S101,'G-3 Multipliers'!$P$3:$Q$6,2,FALSE))</f>
        <v>1</v>
      </c>
      <c r="W101" s="390">
        <f t="shared" si="11"/>
        <v>2.654756233710863</v>
      </c>
      <c r="X101" s="117"/>
      <c r="Y101" s="118"/>
      <c r="Z101" s="120"/>
      <c r="AG101" s="30" t="str">
        <f>IFERROR(INDEX('G-6 Hedgerow Data'!$BJ$3:$BJ$15,MATCH(D101,'G-6 Hedgerow Data'!$B$3:$B$15,0)),"")</f>
        <v>Hedgecond1</v>
      </c>
    </row>
    <row r="102" spans="2:33" ht="28.5" x14ac:dyDescent="0.2">
      <c r="B102" s="110">
        <v>91</v>
      </c>
      <c r="C102" s="167">
        <v>94</v>
      </c>
      <c r="D102" s="159" t="s">
        <v>171</v>
      </c>
      <c r="E102" s="139">
        <v>5.1882963101132686E-3</v>
      </c>
      <c r="F102" s="411" t="str">
        <f>IF(D102="","",VLOOKUP(D102,'G-6 Hedgerow Data'!$B$2:$AG$15,2,FALSE))</f>
        <v>Medium</v>
      </c>
      <c r="G102" s="363">
        <f>IF(D102="","",VLOOKUP(D102,'G-6 Hedgerow Data'!$B$2:$AG$15,3,FALSE))</f>
        <v>4</v>
      </c>
      <c r="H102" s="114" t="s">
        <v>68</v>
      </c>
      <c r="I102" s="363">
        <f>IFERROR(VLOOKUP(H102,'G-1 All Habitats'!$Z$2:$AA$9,2,FALSE),"")</f>
        <v>3</v>
      </c>
      <c r="J102" s="114" t="s">
        <v>1037</v>
      </c>
      <c r="K102" s="382" t="str">
        <f>IF(J102="","",IF(VLOOKUP(J102,'G-3 Multipliers'!$L$3:$N$6,2,FALSE)=0,"Spatial Data Missing ⚠",VLOOKUP(J102,'G-3 Multipliers'!$L$3:$N$6,2,FALSE)))</f>
        <v>Low Strategic Significance</v>
      </c>
      <c r="L102" s="368">
        <f>IF(J102="","",IF(VLOOKUP(J102,'G-3 Multipliers'!$L$3:$N$6,3,FALSE)=0,"Spatial Data Missing ⚠",VLOOKUP(J102,'G-3 Multipliers'!$L$3:$N$6,3,FALSE)))</f>
        <v>1</v>
      </c>
      <c r="M102" s="362">
        <f>IF(OR(D102="",H102=""),"",(INDEX('G-6 Hedgerow Data'!$E$3:$I$15,MATCH(D102,'G-6 Hedgerow Data'!$B$3:$B$15,0),MATCH(H102,'G-6 Hedgerow Data'!$E$2:$I$2,0))))</f>
        <v>12</v>
      </c>
      <c r="N102" s="159"/>
      <c r="O102" s="159"/>
      <c r="P102" s="370" t="str">
        <f t="shared" si="7"/>
        <v>Standard time to target condition applied</v>
      </c>
      <c r="Q102" s="383">
        <f t="shared" si="8"/>
        <v>12</v>
      </c>
      <c r="R102" s="384">
        <f t="shared" si="6"/>
        <v>0.65212036070000001</v>
      </c>
      <c r="S102" s="398" t="str">
        <f>IF(D102="","",VLOOKUP(D102,'G-6 Hedgerow Data'!$B$3:$AG$15,31,FALSE))</f>
        <v>Low</v>
      </c>
      <c r="T102" s="370" t="str">
        <f t="shared" si="9"/>
        <v>Standard difficulty applied</v>
      </c>
      <c r="U102" s="370" t="str">
        <f t="shared" si="10"/>
        <v>Low</v>
      </c>
      <c r="V102" s="386">
        <f>IF(D102="","",VLOOKUP(S102,'G-3 Multipliers'!$P$3:$Q$6,2,FALSE))</f>
        <v>1</v>
      </c>
      <c r="W102" s="390">
        <f t="shared" si="11"/>
        <v>4.0600723934034529E-2</v>
      </c>
      <c r="X102" s="117"/>
      <c r="Y102" s="118"/>
      <c r="Z102" s="120"/>
      <c r="AG102" s="30" t="str">
        <f>IFERROR(INDEX('G-6 Hedgerow Data'!$BJ$3:$BJ$15,MATCH(D102,'G-6 Hedgerow Data'!$B$3:$B$15,0)),"")</f>
        <v>Hedgecond1</v>
      </c>
    </row>
    <row r="103" spans="2:33" ht="28.5" x14ac:dyDescent="0.2">
      <c r="B103" s="110">
        <v>92</v>
      </c>
      <c r="C103" s="167">
        <v>95</v>
      </c>
      <c r="D103" s="159" t="s">
        <v>171</v>
      </c>
      <c r="E103" s="139">
        <v>0.33406033306186783</v>
      </c>
      <c r="F103" s="411" t="str">
        <f>IF(D103="","",VLOOKUP(D103,'G-6 Hedgerow Data'!$B$2:$AG$15,2,FALSE))</f>
        <v>Medium</v>
      </c>
      <c r="G103" s="363">
        <f>IF(D103="","",VLOOKUP(D103,'G-6 Hedgerow Data'!$B$2:$AG$15,3,FALSE))</f>
        <v>4</v>
      </c>
      <c r="H103" s="114" t="s">
        <v>68</v>
      </c>
      <c r="I103" s="363">
        <f>IFERROR(VLOOKUP(H103,'G-1 All Habitats'!$Z$2:$AA$9,2,FALSE),"")</f>
        <v>3</v>
      </c>
      <c r="J103" s="114" t="s">
        <v>1037</v>
      </c>
      <c r="K103" s="382" t="str">
        <f>IF(J103="","",IF(VLOOKUP(J103,'G-3 Multipliers'!$L$3:$N$6,2,FALSE)=0,"Spatial Data Missing ⚠",VLOOKUP(J103,'G-3 Multipliers'!$L$3:$N$6,2,FALSE)))</f>
        <v>Low Strategic Significance</v>
      </c>
      <c r="L103" s="368">
        <f>IF(J103="","",IF(VLOOKUP(J103,'G-3 Multipliers'!$L$3:$N$6,3,FALSE)=0,"Spatial Data Missing ⚠",VLOOKUP(J103,'G-3 Multipliers'!$L$3:$N$6,3,FALSE)))</f>
        <v>1</v>
      </c>
      <c r="M103" s="362">
        <f>IF(OR(D103="",H103=""),"",(INDEX('G-6 Hedgerow Data'!$E$3:$I$15,MATCH(D103,'G-6 Hedgerow Data'!$B$3:$B$15,0),MATCH(H103,'G-6 Hedgerow Data'!$E$2:$I$2,0))))</f>
        <v>12</v>
      </c>
      <c r="N103" s="159"/>
      <c r="O103" s="159"/>
      <c r="P103" s="370" t="str">
        <f t="shared" si="7"/>
        <v>Standard time to target condition applied</v>
      </c>
      <c r="Q103" s="383">
        <f t="shared" si="8"/>
        <v>12</v>
      </c>
      <c r="R103" s="384">
        <f t="shared" si="6"/>
        <v>0.65212036070000001</v>
      </c>
      <c r="S103" s="398" t="str">
        <f>IF(D103="","",VLOOKUP(D103,'G-6 Hedgerow Data'!$B$3:$AG$15,31,FALSE))</f>
        <v>Low</v>
      </c>
      <c r="T103" s="370" t="str">
        <f t="shared" si="9"/>
        <v>Standard difficulty applied</v>
      </c>
      <c r="U103" s="370" t="str">
        <f t="shared" si="10"/>
        <v>Low</v>
      </c>
      <c r="V103" s="386">
        <f>IF(D103="","",VLOOKUP(S103,'G-3 Multipliers'!$P$3:$Q$6,2,FALSE))</f>
        <v>1</v>
      </c>
      <c r="W103" s="390">
        <f t="shared" si="11"/>
        <v>2.6141705387024086</v>
      </c>
      <c r="X103" s="117"/>
      <c r="Y103" s="118"/>
      <c r="Z103" s="120"/>
      <c r="AG103" s="30" t="str">
        <f>IFERROR(INDEX('G-6 Hedgerow Data'!$BJ$3:$BJ$15,MATCH(D103,'G-6 Hedgerow Data'!$B$3:$B$15,0)),"")</f>
        <v>Hedgecond1</v>
      </c>
    </row>
    <row r="104" spans="2:33" ht="28.5" x14ac:dyDescent="0.2">
      <c r="B104" s="110">
        <v>93</v>
      </c>
      <c r="C104" s="167">
        <v>96</v>
      </c>
      <c r="D104" s="159" t="s">
        <v>171</v>
      </c>
      <c r="E104" s="139">
        <v>9.7586131070320527E-3</v>
      </c>
      <c r="F104" s="411" t="str">
        <f>IF(D104="","",VLOOKUP(D104,'G-6 Hedgerow Data'!$B$2:$AG$15,2,FALSE))</f>
        <v>Medium</v>
      </c>
      <c r="G104" s="363">
        <f>IF(D104="","",VLOOKUP(D104,'G-6 Hedgerow Data'!$B$2:$AG$15,3,FALSE))</f>
        <v>4</v>
      </c>
      <c r="H104" s="114" t="s">
        <v>68</v>
      </c>
      <c r="I104" s="363">
        <f>IFERROR(VLOOKUP(H104,'G-1 All Habitats'!$Z$2:$AA$9,2,FALSE),"")</f>
        <v>3</v>
      </c>
      <c r="J104" s="114" t="s">
        <v>1037</v>
      </c>
      <c r="K104" s="382" t="str">
        <f>IF(J104="","",IF(VLOOKUP(J104,'G-3 Multipliers'!$L$3:$N$6,2,FALSE)=0,"Spatial Data Missing ⚠",VLOOKUP(J104,'G-3 Multipliers'!$L$3:$N$6,2,FALSE)))</f>
        <v>Low Strategic Significance</v>
      </c>
      <c r="L104" s="368">
        <f>IF(J104="","",IF(VLOOKUP(J104,'G-3 Multipliers'!$L$3:$N$6,3,FALSE)=0,"Spatial Data Missing ⚠",VLOOKUP(J104,'G-3 Multipliers'!$L$3:$N$6,3,FALSE)))</f>
        <v>1</v>
      </c>
      <c r="M104" s="362">
        <f>IF(OR(D104="",H104=""),"",(INDEX('G-6 Hedgerow Data'!$E$3:$I$15,MATCH(D104,'G-6 Hedgerow Data'!$B$3:$B$15,0),MATCH(H104,'G-6 Hedgerow Data'!$E$2:$I$2,0))))</f>
        <v>12</v>
      </c>
      <c r="N104" s="159"/>
      <c r="O104" s="159"/>
      <c r="P104" s="370" t="str">
        <f t="shared" si="7"/>
        <v>Standard time to target condition applied</v>
      </c>
      <c r="Q104" s="383">
        <f t="shared" si="8"/>
        <v>12</v>
      </c>
      <c r="R104" s="384">
        <f t="shared" si="6"/>
        <v>0.65212036070000001</v>
      </c>
      <c r="S104" s="398" t="str">
        <f>IF(D104="","",VLOOKUP(D104,'G-6 Hedgerow Data'!$B$3:$AG$15,31,FALSE))</f>
        <v>Low</v>
      </c>
      <c r="T104" s="370" t="str">
        <f t="shared" si="9"/>
        <v>Standard difficulty applied</v>
      </c>
      <c r="U104" s="370" t="str">
        <f t="shared" si="10"/>
        <v>Low</v>
      </c>
      <c r="V104" s="386">
        <f>IF(D104="","",VLOOKUP(S104,'G-3 Multipliers'!$P$3:$Q$6,2,FALSE))</f>
        <v>1</v>
      </c>
      <c r="W104" s="390">
        <f t="shared" si="11"/>
        <v>7.6365483591473882E-2</v>
      </c>
      <c r="X104" s="117"/>
      <c r="Y104" s="118"/>
      <c r="Z104" s="120"/>
      <c r="AG104" s="30" t="str">
        <f>IFERROR(INDEX('G-6 Hedgerow Data'!$BJ$3:$BJ$15,MATCH(D104,'G-6 Hedgerow Data'!$B$3:$B$15,0)),"")</f>
        <v>Hedgecond1</v>
      </c>
    </row>
    <row r="105" spans="2:33" ht="28.5" x14ac:dyDescent="0.2">
      <c r="B105" s="110">
        <v>94</v>
      </c>
      <c r="C105" s="167">
        <v>97</v>
      </c>
      <c r="D105" s="159" t="s">
        <v>171</v>
      </c>
      <c r="E105" s="139">
        <v>0.38282593831196549</v>
      </c>
      <c r="F105" s="411" t="str">
        <f>IF(D105="","",VLOOKUP(D105,'G-6 Hedgerow Data'!$B$2:$AG$15,2,FALSE))</f>
        <v>Medium</v>
      </c>
      <c r="G105" s="363">
        <f>IF(D105="","",VLOOKUP(D105,'G-6 Hedgerow Data'!$B$2:$AG$15,3,FALSE))</f>
        <v>4</v>
      </c>
      <c r="H105" s="114" t="s">
        <v>68</v>
      </c>
      <c r="I105" s="363">
        <f>IFERROR(VLOOKUP(H105,'G-1 All Habitats'!$Z$2:$AA$9,2,FALSE),"")</f>
        <v>3</v>
      </c>
      <c r="J105" s="114" t="s">
        <v>1037</v>
      </c>
      <c r="K105" s="382" t="str">
        <f>IF(J105="","",IF(VLOOKUP(J105,'G-3 Multipliers'!$L$3:$N$6,2,FALSE)=0,"Spatial Data Missing ⚠",VLOOKUP(J105,'G-3 Multipliers'!$L$3:$N$6,2,FALSE)))</f>
        <v>Low Strategic Significance</v>
      </c>
      <c r="L105" s="368">
        <f>IF(J105="","",IF(VLOOKUP(J105,'G-3 Multipliers'!$L$3:$N$6,3,FALSE)=0,"Spatial Data Missing ⚠",VLOOKUP(J105,'G-3 Multipliers'!$L$3:$N$6,3,FALSE)))</f>
        <v>1</v>
      </c>
      <c r="M105" s="362">
        <f>IF(OR(D105="",H105=""),"",(INDEX('G-6 Hedgerow Data'!$E$3:$I$15,MATCH(D105,'G-6 Hedgerow Data'!$B$3:$B$15,0),MATCH(H105,'G-6 Hedgerow Data'!$E$2:$I$2,0))))</f>
        <v>12</v>
      </c>
      <c r="N105" s="159"/>
      <c r="O105" s="159"/>
      <c r="P105" s="370" t="str">
        <f t="shared" si="7"/>
        <v>Standard time to target condition applied</v>
      </c>
      <c r="Q105" s="383">
        <f t="shared" si="8"/>
        <v>12</v>
      </c>
      <c r="R105" s="384">
        <f t="shared" si="6"/>
        <v>0.65212036070000001</v>
      </c>
      <c r="S105" s="398" t="str">
        <f>IF(D105="","",VLOOKUP(D105,'G-6 Hedgerow Data'!$B$3:$AG$15,31,FALSE))</f>
        <v>Low</v>
      </c>
      <c r="T105" s="370" t="str">
        <f t="shared" si="9"/>
        <v>Standard difficulty applied</v>
      </c>
      <c r="U105" s="370" t="str">
        <f t="shared" si="10"/>
        <v>Low</v>
      </c>
      <c r="V105" s="386">
        <f>IF(D105="","",VLOOKUP(S105,'G-3 Multipliers'!$P$3:$Q$6,2,FALSE))</f>
        <v>1</v>
      </c>
      <c r="W105" s="390">
        <f t="shared" si="11"/>
        <v>2.9957830677277788</v>
      </c>
      <c r="X105" s="117"/>
      <c r="Y105" s="118"/>
      <c r="Z105" s="120"/>
      <c r="AG105" s="30" t="str">
        <f>IFERROR(INDEX('G-6 Hedgerow Data'!$BJ$3:$BJ$15,MATCH(D105,'G-6 Hedgerow Data'!$B$3:$B$15,0)),"")</f>
        <v>Hedgecond1</v>
      </c>
    </row>
    <row r="106" spans="2:33" ht="28.5" x14ac:dyDescent="0.2">
      <c r="B106" s="110">
        <v>95</v>
      </c>
      <c r="C106" s="167">
        <v>98</v>
      </c>
      <c r="D106" s="159" t="s">
        <v>171</v>
      </c>
      <c r="E106" s="139">
        <v>0.37711465154227236</v>
      </c>
      <c r="F106" s="411" t="str">
        <f>IF(D106="","",VLOOKUP(D106,'G-6 Hedgerow Data'!$B$2:$AG$15,2,FALSE))</f>
        <v>Medium</v>
      </c>
      <c r="G106" s="363">
        <f>IF(D106="","",VLOOKUP(D106,'G-6 Hedgerow Data'!$B$2:$AG$15,3,FALSE))</f>
        <v>4</v>
      </c>
      <c r="H106" s="114" t="s">
        <v>68</v>
      </c>
      <c r="I106" s="363">
        <f>IFERROR(VLOOKUP(H106,'G-1 All Habitats'!$Z$2:$AA$9,2,FALSE),"")</f>
        <v>3</v>
      </c>
      <c r="J106" s="114" t="s">
        <v>1037</v>
      </c>
      <c r="K106" s="382" t="str">
        <f>IF(J106="","",IF(VLOOKUP(J106,'G-3 Multipliers'!$L$3:$N$6,2,FALSE)=0,"Spatial Data Missing ⚠",VLOOKUP(J106,'G-3 Multipliers'!$L$3:$N$6,2,FALSE)))</f>
        <v>Low Strategic Significance</v>
      </c>
      <c r="L106" s="368">
        <f>IF(J106="","",IF(VLOOKUP(J106,'G-3 Multipliers'!$L$3:$N$6,3,FALSE)=0,"Spatial Data Missing ⚠",VLOOKUP(J106,'G-3 Multipliers'!$L$3:$N$6,3,FALSE)))</f>
        <v>1</v>
      </c>
      <c r="M106" s="362">
        <f>IF(OR(D106="",H106=""),"",(INDEX('G-6 Hedgerow Data'!$E$3:$I$15,MATCH(D106,'G-6 Hedgerow Data'!$B$3:$B$15,0),MATCH(H106,'G-6 Hedgerow Data'!$E$2:$I$2,0))))</f>
        <v>12</v>
      </c>
      <c r="N106" s="159"/>
      <c r="O106" s="159"/>
      <c r="P106" s="370" t="str">
        <f t="shared" si="7"/>
        <v>Standard time to target condition applied</v>
      </c>
      <c r="Q106" s="383">
        <f t="shared" si="8"/>
        <v>12</v>
      </c>
      <c r="R106" s="384">
        <f t="shared" si="6"/>
        <v>0.65212036070000001</v>
      </c>
      <c r="S106" s="398" t="str">
        <f>IF(D106="","",VLOOKUP(D106,'G-6 Hedgerow Data'!$B$3:$AG$15,31,FALSE))</f>
        <v>Low</v>
      </c>
      <c r="T106" s="370" t="str">
        <f t="shared" si="9"/>
        <v>Standard difficulty applied</v>
      </c>
      <c r="U106" s="370" t="str">
        <f t="shared" si="10"/>
        <v>Low</v>
      </c>
      <c r="V106" s="386">
        <f>IF(D106="","",VLOOKUP(S106,'G-3 Multipliers'!$P$3:$Q$6,2,FALSE))</f>
        <v>1</v>
      </c>
      <c r="W106" s="390">
        <f t="shared" si="11"/>
        <v>2.9510897110680179</v>
      </c>
      <c r="X106" s="117"/>
      <c r="Y106" s="118"/>
      <c r="Z106" s="120"/>
      <c r="AG106" s="30" t="str">
        <f>IFERROR(INDEX('G-6 Hedgerow Data'!$BJ$3:$BJ$15,MATCH(D106,'G-6 Hedgerow Data'!$B$3:$B$15,0)),"")</f>
        <v>Hedgecond1</v>
      </c>
    </row>
    <row r="107" spans="2:33" ht="28.5" x14ac:dyDescent="0.2">
      <c r="B107" s="110">
        <v>96</v>
      </c>
      <c r="C107" s="167">
        <v>99</v>
      </c>
      <c r="D107" s="159" t="s">
        <v>171</v>
      </c>
      <c r="E107" s="139">
        <v>7.0165045415558153E-2</v>
      </c>
      <c r="F107" s="411" t="str">
        <f>IF(D107="","",VLOOKUP(D107,'G-6 Hedgerow Data'!$B$2:$AG$15,2,FALSE))</f>
        <v>Medium</v>
      </c>
      <c r="G107" s="363">
        <f>IF(D107="","",VLOOKUP(D107,'G-6 Hedgerow Data'!$B$2:$AG$15,3,FALSE))</f>
        <v>4</v>
      </c>
      <c r="H107" s="114" t="s">
        <v>68</v>
      </c>
      <c r="I107" s="363">
        <f>IFERROR(VLOOKUP(H107,'G-1 All Habitats'!$Z$2:$AA$9,2,FALSE),"")</f>
        <v>3</v>
      </c>
      <c r="J107" s="114" t="s">
        <v>1037</v>
      </c>
      <c r="K107" s="382" t="str">
        <f>IF(J107="","",IF(VLOOKUP(J107,'G-3 Multipliers'!$L$3:$N$6,2,FALSE)=0,"Spatial Data Missing ⚠",VLOOKUP(J107,'G-3 Multipliers'!$L$3:$N$6,2,FALSE)))</f>
        <v>Low Strategic Significance</v>
      </c>
      <c r="L107" s="368">
        <f>IF(J107="","",IF(VLOOKUP(J107,'G-3 Multipliers'!$L$3:$N$6,3,FALSE)=0,"Spatial Data Missing ⚠",VLOOKUP(J107,'G-3 Multipliers'!$L$3:$N$6,3,FALSE)))</f>
        <v>1</v>
      </c>
      <c r="M107" s="362">
        <f>IF(OR(D107="",H107=""),"",(INDEX('G-6 Hedgerow Data'!$E$3:$I$15,MATCH(D107,'G-6 Hedgerow Data'!$B$3:$B$15,0),MATCH(H107,'G-6 Hedgerow Data'!$E$2:$I$2,0))))</f>
        <v>12</v>
      </c>
      <c r="N107" s="159"/>
      <c r="O107" s="159"/>
      <c r="P107" s="370" t="str">
        <f t="shared" si="7"/>
        <v>Standard time to target condition applied</v>
      </c>
      <c r="Q107" s="383">
        <f t="shared" si="8"/>
        <v>12</v>
      </c>
      <c r="R107" s="384">
        <f t="shared" si="6"/>
        <v>0.65212036070000001</v>
      </c>
      <c r="S107" s="398" t="str">
        <f>IF(D107="","",VLOOKUP(D107,'G-6 Hedgerow Data'!$B$3:$AG$15,31,FALSE))</f>
        <v>Low</v>
      </c>
      <c r="T107" s="370" t="str">
        <f t="shared" si="9"/>
        <v>Standard difficulty applied</v>
      </c>
      <c r="U107" s="370" t="str">
        <f t="shared" si="10"/>
        <v>Low</v>
      </c>
      <c r="V107" s="386">
        <f>IF(D107="","",VLOOKUP(S107,'G-3 Multipliers'!$P$3:$Q$6,2,FALSE))</f>
        <v>1</v>
      </c>
      <c r="W107" s="390">
        <f t="shared" si="11"/>
        <v>0.54907265669910799</v>
      </c>
      <c r="X107" s="117"/>
      <c r="Y107" s="118"/>
      <c r="Z107" s="120"/>
      <c r="AG107" s="30" t="str">
        <f>IFERROR(INDEX('G-6 Hedgerow Data'!$BJ$3:$BJ$15,MATCH(D107,'G-6 Hedgerow Data'!$B$3:$B$15,0)),"")</f>
        <v>Hedgecond1</v>
      </c>
    </row>
    <row r="108" spans="2:33" ht="28.5" x14ac:dyDescent="0.2">
      <c r="B108" s="110">
        <v>97</v>
      </c>
      <c r="C108" s="167">
        <v>100</v>
      </c>
      <c r="D108" s="159" t="s">
        <v>171</v>
      </c>
      <c r="E108" s="139">
        <v>0.22967050453604013</v>
      </c>
      <c r="F108" s="411" t="str">
        <f>IF(D108="","",VLOOKUP(D108,'G-6 Hedgerow Data'!$B$2:$AG$15,2,FALSE))</f>
        <v>Medium</v>
      </c>
      <c r="G108" s="363">
        <f>IF(D108="","",VLOOKUP(D108,'G-6 Hedgerow Data'!$B$2:$AG$15,3,FALSE))</f>
        <v>4</v>
      </c>
      <c r="H108" s="114" t="s">
        <v>68</v>
      </c>
      <c r="I108" s="363">
        <f>IFERROR(VLOOKUP(H108,'G-1 All Habitats'!$Z$2:$AA$9,2,FALSE),"")</f>
        <v>3</v>
      </c>
      <c r="J108" s="114" t="s">
        <v>1037</v>
      </c>
      <c r="K108" s="382" t="str">
        <f>IF(J108="","",IF(VLOOKUP(J108,'G-3 Multipliers'!$L$3:$N$6,2,FALSE)=0,"Spatial Data Missing ⚠",VLOOKUP(J108,'G-3 Multipliers'!$L$3:$N$6,2,FALSE)))</f>
        <v>Low Strategic Significance</v>
      </c>
      <c r="L108" s="368">
        <f>IF(J108="","",IF(VLOOKUP(J108,'G-3 Multipliers'!$L$3:$N$6,3,FALSE)=0,"Spatial Data Missing ⚠",VLOOKUP(J108,'G-3 Multipliers'!$L$3:$N$6,3,FALSE)))</f>
        <v>1</v>
      </c>
      <c r="M108" s="362">
        <f>IF(OR(D108="",H108=""),"",(INDEX('G-6 Hedgerow Data'!$E$3:$I$15,MATCH(D108,'G-6 Hedgerow Data'!$B$3:$B$15,0),MATCH(H108,'G-6 Hedgerow Data'!$E$2:$I$2,0))))</f>
        <v>12</v>
      </c>
      <c r="N108" s="159"/>
      <c r="O108" s="159"/>
      <c r="P108" s="370" t="str">
        <f t="shared" si="7"/>
        <v>Standard time to target condition applied</v>
      </c>
      <c r="Q108" s="383">
        <f t="shared" si="8"/>
        <v>12</v>
      </c>
      <c r="R108" s="384">
        <f t="shared" si="6"/>
        <v>0.65212036070000001</v>
      </c>
      <c r="S108" s="398" t="str">
        <f>IF(D108="","",VLOOKUP(D108,'G-6 Hedgerow Data'!$B$3:$AG$15,31,FALSE))</f>
        <v>Low</v>
      </c>
      <c r="T108" s="370" t="str">
        <f t="shared" si="9"/>
        <v>Standard difficulty applied</v>
      </c>
      <c r="U108" s="370" t="str">
        <f t="shared" si="10"/>
        <v>Low</v>
      </c>
      <c r="V108" s="386">
        <f>IF(D108="","",VLOOKUP(S108,'G-3 Multipliers'!$P$3:$Q$6,2,FALSE))</f>
        <v>1</v>
      </c>
      <c r="W108" s="390">
        <f t="shared" si="11"/>
        <v>1.7972737471223217</v>
      </c>
      <c r="X108" s="117"/>
      <c r="Y108" s="118"/>
      <c r="Z108" s="120"/>
      <c r="AG108" s="30" t="str">
        <f>IFERROR(INDEX('G-6 Hedgerow Data'!$BJ$3:$BJ$15,MATCH(D108,'G-6 Hedgerow Data'!$B$3:$B$15,0)),"")</f>
        <v>Hedgecond1</v>
      </c>
    </row>
    <row r="109" spans="2:33" ht="28.5" x14ac:dyDescent="0.2">
      <c r="B109" s="110">
        <v>98</v>
      </c>
      <c r="C109" s="167">
        <v>101</v>
      </c>
      <c r="D109" s="159" t="s">
        <v>171</v>
      </c>
      <c r="E109" s="139">
        <v>7.2377508114582753E-2</v>
      </c>
      <c r="F109" s="411" t="str">
        <f>IF(D109="","",VLOOKUP(D109,'G-6 Hedgerow Data'!$B$2:$AG$15,2,FALSE))</f>
        <v>Medium</v>
      </c>
      <c r="G109" s="363">
        <f>IF(D109="","",VLOOKUP(D109,'G-6 Hedgerow Data'!$B$2:$AG$15,3,FALSE))</f>
        <v>4</v>
      </c>
      <c r="H109" s="114" t="s">
        <v>68</v>
      </c>
      <c r="I109" s="363">
        <f>IFERROR(VLOOKUP(H109,'G-1 All Habitats'!$Z$2:$AA$9,2,FALSE),"")</f>
        <v>3</v>
      </c>
      <c r="J109" s="114" t="s">
        <v>1037</v>
      </c>
      <c r="K109" s="382" t="str">
        <f>IF(J109="","",IF(VLOOKUP(J109,'G-3 Multipliers'!$L$3:$N$6,2,FALSE)=0,"Spatial Data Missing ⚠",VLOOKUP(J109,'G-3 Multipliers'!$L$3:$N$6,2,FALSE)))</f>
        <v>Low Strategic Significance</v>
      </c>
      <c r="L109" s="368">
        <f>IF(J109="","",IF(VLOOKUP(J109,'G-3 Multipliers'!$L$3:$N$6,3,FALSE)=0,"Spatial Data Missing ⚠",VLOOKUP(J109,'G-3 Multipliers'!$L$3:$N$6,3,FALSE)))</f>
        <v>1</v>
      </c>
      <c r="M109" s="362">
        <f>IF(OR(D109="",H109=""),"",(INDEX('G-6 Hedgerow Data'!$E$3:$I$15,MATCH(D109,'G-6 Hedgerow Data'!$B$3:$B$15,0),MATCH(H109,'G-6 Hedgerow Data'!$E$2:$I$2,0))))</f>
        <v>12</v>
      </c>
      <c r="N109" s="159"/>
      <c r="O109" s="159"/>
      <c r="P109" s="370" t="str">
        <f t="shared" si="7"/>
        <v>Standard time to target condition applied</v>
      </c>
      <c r="Q109" s="383">
        <f t="shared" si="8"/>
        <v>12</v>
      </c>
      <c r="R109" s="384">
        <f t="shared" si="6"/>
        <v>0.65212036070000001</v>
      </c>
      <c r="S109" s="398" t="str">
        <f>IF(D109="","",VLOOKUP(D109,'G-6 Hedgerow Data'!$B$3:$AG$15,31,FALSE))</f>
        <v>Low</v>
      </c>
      <c r="T109" s="370" t="str">
        <f t="shared" si="9"/>
        <v>Standard difficulty applied</v>
      </c>
      <c r="U109" s="370" t="str">
        <f t="shared" si="10"/>
        <v>Low</v>
      </c>
      <c r="V109" s="386">
        <f>IF(D109="","",VLOOKUP(S109,'G-3 Multipliers'!$P$3:$Q$6,2,FALSE))</f>
        <v>1</v>
      </c>
      <c r="W109" s="390">
        <f t="shared" si="11"/>
        <v>0.56638616037898659</v>
      </c>
      <c r="X109" s="117"/>
      <c r="Y109" s="118"/>
      <c r="Z109" s="120"/>
      <c r="AG109" s="30" t="str">
        <f>IFERROR(INDEX('G-6 Hedgerow Data'!$BJ$3:$BJ$15,MATCH(D109,'G-6 Hedgerow Data'!$B$3:$B$15,0)),"")</f>
        <v>Hedgecond1</v>
      </c>
    </row>
    <row r="110" spans="2:33" ht="28.5" x14ac:dyDescent="0.2">
      <c r="B110" s="110">
        <v>99</v>
      </c>
      <c r="C110" s="167">
        <v>102</v>
      </c>
      <c r="D110" s="159" t="s">
        <v>171</v>
      </c>
      <c r="E110" s="139">
        <v>0.22827361630070478</v>
      </c>
      <c r="F110" s="411" t="str">
        <f>IF(D110="","",VLOOKUP(D110,'G-6 Hedgerow Data'!$B$2:$AG$15,2,FALSE))</f>
        <v>Medium</v>
      </c>
      <c r="G110" s="363">
        <f>IF(D110="","",VLOOKUP(D110,'G-6 Hedgerow Data'!$B$2:$AG$15,3,FALSE))</f>
        <v>4</v>
      </c>
      <c r="H110" s="114" t="s">
        <v>68</v>
      </c>
      <c r="I110" s="363">
        <f>IFERROR(VLOOKUP(H110,'G-1 All Habitats'!$Z$2:$AA$9,2,FALSE),"")</f>
        <v>3</v>
      </c>
      <c r="J110" s="114" t="s">
        <v>1037</v>
      </c>
      <c r="K110" s="382" t="str">
        <f>IF(J110="","",IF(VLOOKUP(J110,'G-3 Multipliers'!$L$3:$N$6,2,FALSE)=0,"Spatial Data Missing ⚠",VLOOKUP(J110,'G-3 Multipliers'!$L$3:$N$6,2,FALSE)))</f>
        <v>Low Strategic Significance</v>
      </c>
      <c r="L110" s="368">
        <f>IF(J110="","",IF(VLOOKUP(J110,'G-3 Multipliers'!$L$3:$N$6,3,FALSE)=0,"Spatial Data Missing ⚠",VLOOKUP(J110,'G-3 Multipliers'!$L$3:$N$6,3,FALSE)))</f>
        <v>1</v>
      </c>
      <c r="M110" s="362">
        <f>IF(OR(D110="",H110=""),"",(INDEX('G-6 Hedgerow Data'!$E$3:$I$15,MATCH(D110,'G-6 Hedgerow Data'!$B$3:$B$15,0),MATCH(H110,'G-6 Hedgerow Data'!$E$2:$I$2,0))))</f>
        <v>12</v>
      </c>
      <c r="N110" s="159"/>
      <c r="O110" s="159"/>
      <c r="P110" s="370" t="str">
        <f t="shared" si="7"/>
        <v>Standard time to target condition applied</v>
      </c>
      <c r="Q110" s="383">
        <f t="shared" si="8"/>
        <v>12</v>
      </c>
      <c r="R110" s="384">
        <f t="shared" si="6"/>
        <v>0.65212036070000001</v>
      </c>
      <c r="S110" s="398" t="str">
        <f>IF(D110="","",VLOOKUP(D110,'G-6 Hedgerow Data'!$B$3:$AG$15,31,FALSE))</f>
        <v>Low</v>
      </c>
      <c r="T110" s="370" t="str">
        <f t="shared" si="9"/>
        <v>Standard difficulty applied</v>
      </c>
      <c r="U110" s="370" t="str">
        <f t="shared" si="10"/>
        <v>Low</v>
      </c>
      <c r="V110" s="386">
        <f>IF(D110="","",VLOOKUP(S110,'G-3 Multipliers'!$P$3:$Q$6,2,FALSE))</f>
        <v>1</v>
      </c>
      <c r="W110" s="390">
        <f t="shared" si="11"/>
        <v>1.7863424760037081</v>
      </c>
      <c r="X110" s="117"/>
      <c r="Y110" s="118"/>
      <c r="Z110" s="120"/>
      <c r="AG110" s="30" t="str">
        <f>IFERROR(INDEX('G-6 Hedgerow Data'!$BJ$3:$BJ$15,MATCH(D110,'G-6 Hedgerow Data'!$B$3:$B$15,0)),"")</f>
        <v>Hedgecond1</v>
      </c>
    </row>
    <row r="111" spans="2:33" ht="28.5" x14ac:dyDescent="0.2">
      <c r="B111" s="110">
        <v>100</v>
      </c>
      <c r="C111" s="167">
        <v>103</v>
      </c>
      <c r="D111" s="159" t="s">
        <v>171</v>
      </c>
      <c r="E111" s="139">
        <v>0.14676494030789911</v>
      </c>
      <c r="F111" s="411" t="str">
        <f>IF(D111="","",VLOOKUP(D111,'G-6 Hedgerow Data'!$B$2:$AG$15,2,FALSE))</f>
        <v>Medium</v>
      </c>
      <c r="G111" s="363">
        <f>IF(D111="","",VLOOKUP(D111,'G-6 Hedgerow Data'!$B$2:$AG$15,3,FALSE))</f>
        <v>4</v>
      </c>
      <c r="H111" s="114" t="s">
        <v>68</v>
      </c>
      <c r="I111" s="363">
        <f>IFERROR(VLOOKUP(H111,'G-1 All Habitats'!$Z$2:$AA$9,2,FALSE),"")</f>
        <v>3</v>
      </c>
      <c r="J111" s="114" t="s">
        <v>1037</v>
      </c>
      <c r="K111" s="382" t="str">
        <f>IF(J111="","",IF(VLOOKUP(J111,'G-3 Multipliers'!$L$3:$N$6,2,FALSE)=0,"Spatial Data Missing ⚠",VLOOKUP(J111,'G-3 Multipliers'!$L$3:$N$6,2,FALSE)))</f>
        <v>Low Strategic Significance</v>
      </c>
      <c r="L111" s="368">
        <f>IF(J111="","",IF(VLOOKUP(J111,'G-3 Multipliers'!$L$3:$N$6,3,FALSE)=0,"Spatial Data Missing ⚠",VLOOKUP(J111,'G-3 Multipliers'!$L$3:$N$6,3,FALSE)))</f>
        <v>1</v>
      </c>
      <c r="M111" s="362">
        <f>IF(OR(D111="",H111=""),"",(INDEX('G-6 Hedgerow Data'!$E$3:$I$15,MATCH(D111,'G-6 Hedgerow Data'!$B$3:$B$15,0),MATCH(H111,'G-6 Hedgerow Data'!$E$2:$I$2,0))))</f>
        <v>12</v>
      </c>
      <c r="N111" s="159"/>
      <c r="O111" s="159"/>
      <c r="P111" s="370" t="str">
        <f t="shared" si="7"/>
        <v>Standard time to target condition applied</v>
      </c>
      <c r="Q111" s="383">
        <f t="shared" si="8"/>
        <v>12</v>
      </c>
      <c r="R111" s="384">
        <f t="shared" si="6"/>
        <v>0.65212036070000001</v>
      </c>
      <c r="S111" s="398" t="str">
        <f>IF(D111="","",VLOOKUP(D111,'G-6 Hedgerow Data'!$B$3:$AG$15,31,FALSE))</f>
        <v>Low</v>
      </c>
      <c r="T111" s="370" t="str">
        <f t="shared" si="9"/>
        <v>Standard difficulty applied</v>
      </c>
      <c r="U111" s="370" t="str">
        <f t="shared" si="10"/>
        <v>Low</v>
      </c>
      <c r="V111" s="386">
        <f>IF(D111="","",VLOOKUP(S111,'G-3 Multipliers'!$P$3:$Q$6,2,FALSE))</f>
        <v>1</v>
      </c>
      <c r="W111" s="390">
        <f t="shared" si="11"/>
        <v>1.1485008697404135</v>
      </c>
      <c r="X111" s="117"/>
      <c r="Y111" s="118"/>
      <c r="Z111" s="120"/>
      <c r="AG111" s="30" t="str">
        <f>IFERROR(INDEX('G-6 Hedgerow Data'!$BJ$3:$BJ$15,MATCH(D111,'G-6 Hedgerow Data'!$B$3:$B$15,0)),"")</f>
        <v>Hedgecond1</v>
      </c>
    </row>
    <row r="112" spans="2:33" ht="28.5" x14ac:dyDescent="0.2">
      <c r="B112" s="110">
        <v>101</v>
      </c>
      <c r="C112" s="167">
        <v>104</v>
      </c>
      <c r="D112" s="159" t="s">
        <v>171</v>
      </c>
      <c r="E112" s="139">
        <v>0.14523657262997941</v>
      </c>
      <c r="F112" s="411" t="str">
        <f>IF(D112="","",VLOOKUP(D112,'G-6 Hedgerow Data'!$B$2:$AG$15,2,FALSE))</f>
        <v>Medium</v>
      </c>
      <c r="G112" s="363">
        <f>IF(D112="","",VLOOKUP(D112,'G-6 Hedgerow Data'!$B$2:$AG$15,3,FALSE))</f>
        <v>4</v>
      </c>
      <c r="H112" s="114" t="s">
        <v>68</v>
      </c>
      <c r="I112" s="363">
        <f>IFERROR(VLOOKUP(H112,'G-1 All Habitats'!$Z$2:$AA$9,2,FALSE),"")</f>
        <v>3</v>
      </c>
      <c r="J112" s="114" t="s">
        <v>1037</v>
      </c>
      <c r="K112" s="382" t="str">
        <f>IF(J112="","",IF(VLOOKUP(J112,'G-3 Multipliers'!$L$3:$N$6,2,FALSE)=0,"Spatial Data Missing ⚠",VLOOKUP(J112,'G-3 Multipliers'!$L$3:$N$6,2,FALSE)))</f>
        <v>Low Strategic Significance</v>
      </c>
      <c r="L112" s="368">
        <f>IF(J112="","",IF(VLOOKUP(J112,'G-3 Multipliers'!$L$3:$N$6,3,FALSE)=0,"Spatial Data Missing ⚠",VLOOKUP(J112,'G-3 Multipliers'!$L$3:$N$6,3,FALSE)))</f>
        <v>1</v>
      </c>
      <c r="M112" s="362">
        <f>IF(OR(D112="",H112=""),"",(INDEX('G-6 Hedgerow Data'!$E$3:$I$15,MATCH(D112,'G-6 Hedgerow Data'!$B$3:$B$15,0),MATCH(H112,'G-6 Hedgerow Data'!$E$2:$I$2,0))))</f>
        <v>12</v>
      </c>
      <c r="N112" s="159"/>
      <c r="O112" s="159"/>
      <c r="P112" s="370" t="str">
        <f t="shared" si="7"/>
        <v>Standard time to target condition applied</v>
      </c>
      <c r="Q112" s="383">
        <f t="shared" si="8"/>
        <v>12</v>
      </c>
      <c r="R112" s="384">
        <f t="shared" si="6"/>
        <v>0.65212036070000001</v>
      </c>
      <c r="S112" s="398" t="str">
        <f>IF(D112="","",VLOOKUP(D112,'G-6 Hedgerow Data'!$B$3:$AG$15,31,FALSE))</f>
        <v>Low</v>
      </c>
      <c r="T112" s="370" t="str">
        <f t="shared" si="9"/>
        <v>Standard difficulty applied</v>
      </c>
      <c r="U112" s="370" t="str">
        <f t="shared" si="10"/>
        <v>Low</v>
      </c>
      <c r="V112" s="386">
        <f>IF(D112="","",VLOOKUP(S112,'G-3 Multipliers'!$P$3:$Q$6,2,FALSE))</f>
        <v>1</v>
      </c>
      <c r="W112" s="390">
        <f t="shared" si="11"/>
        <v>1.136540713563527</v>
      </c>
      <c r="X112" s="117"/>
      <c r="Y112" s="118"/>
      <c r="Z112" s="120"/>
      <c r="AG112" s="30" t="str">
        <f>IFERROR(INDEX('G-6 Hedgerow Data'!$BJ$3:$BJ$15,MATCH(D112,'G-6 Hedgerow Data'!$B$3:$B$15,0)),"")</f>
        <v>Hedgecond1</v>
      </c>
    </row>
    <row r="113" spans="2:33" ht="28.5" x14ac:dyDescent="0.2">
      <c r="B113" s="110">
        <v>102</v>
      </c>
      <c r="C113" s="167">
        <v>105</v>
      </c>
      <c r="D113" s="159" t="s">
        <v>171</v>
      </c>
      <c r="E113" s="139">
        <v>0.1484177796224404</v>
      </c>
      <c r="F113" s="411" t="str">
        <f>IF(D113="","",VLOOKUP(D113,'G-6 Hedgerow Data'!$B$2:$AG$15,2,FALSE))</f>
        <v>Medium</v>
      </c>
      <c r="G113" s="363">
        <f>IF(D113="","",VLOOKUP(D113,'G-6 Hedgerow Data'!$B$2:$AG$15,3,FALSE))</f>
        <v>4</v>
      </c>
      <c r="H113" s="114" t="s">
        <v>68</v>
      </c>
      <c r="I113" s="363">
        <f>IFERROR(VLOOKUP(H113,'G-1 All Habitats'!$Z$2:$AA$9,2,FALSE),"")</f>
        <v>3</v>
      </c>
      <c r="J113" s="114" t="s">
        <v>1037</v>
      </c>
      <c r="K113" s="382" t="str">
        <f>IF(J113="","",IF(VLOOKUP(J113,'G-3 Multipliers'!$L$3:$N$6,2,FALSE)=0,"Spatial Data Missing ⚠",VLOOKUP(J113,'G-3 Multipliers'!$L$3:$N$6,2,FALSE)))</f>
        <v>Low Strategic Significance</v>
      </c>
      <c r="L113" s="368">
        <f>IF(J113="","",IF(VLOOKUP(J113,'G-3 Multipliers'!$L$3:$N$6,3,FALSE)=0,"Spatial Data Missing ⚠",VLOOKUP(J113,'G-3 Multipliers'!$L$3:$N$6,3,FALSE)))</f>
        <v>1</v>
      </c>
      <c r="M113" s="362">
        <f>IF(OR(D113="",H113=""),"",(INDEX('G-6 Hedgerow Data'!$E$3:$I$15,MATCH(D113,'G-6 Hedgerow Data'!$B$3:$B$15,0),MATCH(H113,'G-6 Hedgerow Data'!$E$2:$I$2,0))))</f>
        <v>12</v>
      </c>
      <c r="N113" s="159"/>
      <c r="O113" s="159"/>
      <c r="P113" s="370" t="str">
        <f t="shared" si="7"/>
        <v>Standard time to target condition applied</v>
      </c>
      <c r="Q113" s="383">
        <f t="shared" si="8"/>
        <v>12</v>
      </c>
      <c r="R113" s="384">
        <f t="shared" si="6"/>
        <v>0.65212036070000001</v>
      </c>
      <c r="S113" s="398" t="str">
        <f>IF(D113="","",VLOOKUP(D113,'G-6 Hedgerow Data'!$B$3:$AG$15,31,FALSE))</f>
        <v>Low</v>
      </c>
      <c r="T113" s="370" t="str">
        <f t="shared" si="9"/>
        <v>Standard difficulty applied</v>
      </c>
      <c r="U113" s="370" t="str">
        <f t="shared" si="10"/>
        <v>Low</v>
      </c>
      <c r="V113" s="386">
        <f>IF(D113="","",VLOOKUP(S113,'G-3 Multipliers'!$P$3:$Q$6,2,FALSE))</f>
        <v>1</v>
      </c>
      <c r="W113" s="390">
        <f t="shared" si="11"/>
        <v>1.1614350717801474</v>
      </c>
      <c r="X113" s="117"/>
      <c r="Y113" s="118"/>
      <c r="Z113" s="120"/>
      <c r="AG113" s="30" t="str">
        <f>IFERROR(INDEX('G-6 Hedgerow Data'!$BJ$3:$BJ$15,MATCH(D113,'G-6 Hedgerow Data'!$B$3:$B$15,0)),"")</f>
        <v>Hedgecond1</v>
      </c>
    </row>
    <row r="114" spans="2:33" ht="28.5" x14ac:dyDescent="0.2">
      <c r="B114" s="110">
        <v>103</v>
      </c>
      <c r="C114" s="167">
        <v>106</v>
      </c>
      <c r="D114" s="159" t="s">
        <v>171</v>
      </c>
      <c r="E114" s="139">
        <v>9.9902866483904562E-2</v>
      </c>
      <c r="F114" s="411" t="str">
        <f>IF(D114="","",VLOOKUP(D114,'G-6 Hedgerow Data'!$B$2:$AG$15,2,FALSE))</f>
        <v>Medium</v>
      </c>
      <c r="G114" s="363">
        <f>IF(D114="","",VLOOKUP(D114,'G-6 Hedgerow Data'!$B$2:$AG$15,3,FALSE))</f>
        <v>4</v>
      </c>
      <c r="H114" s="114" t="s">
        <v>68</v>
      </c>
      <c r="I114" s="363">
        <f>IFERROR(VLOOKUP(H114,'G-1 All Habitats'!$Z$2:$AA$9,2,FALSE),"")</f>
        <v>3</v>
      </c>
      <c r="J114" s="114" t="s">
        <v>1037</v>
      </c>
      <c r="K114" s="382" t="str">
        <f>IF(J114="","",IF(VLOOKUP(J114,'G-3 Multipliers'!$L$3:$N$6,2,FALSE)=0,"Spatial Data Missing ⚠",VLOOKUP(J114,'G-3 Multipliers'!$L$3:$N$6,2,FALSE)))</f>
        <v>Low Strategic Significance</v>
      </c>
      <c r="L114" s="368">
        <f>IF(J114="","",IF(VLOOKUP(J114,'G-3 Multipliers'!$L$3:$N$6,3,FALSE)=0,"Spatial Data Missing ⚠",VLOOKUP(J114,'G-3 Multipliers'!$L$3:$N$6,3,FALSE)))</f>
        <v>1</v>
      </c>
      <c r="M114" s="362">
        <f>IF(OR(D114="",H114=""),"",(INDEX('G-6 Hedgerow Data'!$E$3:$I$15,MATCH(D114,'G-6 Hedgerow Data'!$B$3:$B$15,0),MATCH(H114,'G-6 Hedgerow Data'!$E$2:$I$2,0))))</f>
        <v>12</v>
      </c>
      <c r="N114" s="159"/>
      <c r="O114" s="159"/>
      <c r="P114" s="370" t="str">
        <f t="shared" si="7"/>
        <v>Standard time to target condition applied</v>
      </c>
      <c r="Q114" s="383">
        <f t="shared" si="8"/>
        <v>12</v>
      </c>
      <c r="R114" s="384">
        <f t="shared" si="6"/>
        <v>0.65212036070000001</v>
      </c>
      <c r="S114" s="398" t="str">
        <f>IF(D114="","",VLOOKUP(D114,'G-6 Hedgerow Data'!$B$3:$AG$15,31,FALSE))</f>
        <v>Low</v>
      </c>
      <c r="T114" s="370" t="str">
        <f t="shared" si="9"/>
        <v>Standard difficulty applied</v>
      </c>
      <c r="U114" s="370" t="str">
        <f t="shared" si="10"/>
        <v>Low</v>
      </c>
      <c r="V114" s="386">
        <f>IF(D114="","",VLOOKUP(S114,'G-3 Multipliers'!$P$3:$Q$6,2,FALSE))</f>
        <v>1</v>
      </c>
      <c r="W114" s="390">
        <f t="shared" si="11"/>
        <v>0.7817843199173734</v>
      </c>
      <c r="X114" s="117"/>
      <c r="Y114" s="118"/>
      <c r="Z114" s="120"/>
      <c r="AG114" s="30" t="str">
        <f>IFERROR(INDEX('G-6 Hedgerow Data'!$BJ$3:$BJ$15,MATCH(D114,'G-6 Hedgerow Data'!$B$3:$B$15,0)),"")</f>
        <v>Hedgecond1</v>
      </c>
    </row>
    <row r="115" spans="2:33" ht="28.5" x14ac:dyDescent="0.2">
      <c r="B115" s="110">
        <v>104</v>
      </c>
      <c r="C115" s="167">
        <v>107</v>
      </c>
      <c r="D115" s="159" t="s">
        <v>171</v>
      </c>
      <c r="E115" s="139">
        <v>0.1566899111894845</v>
      </c>
      <c r="F115" s="411" t="str">
        <f>IF(D115="","",VLOOKUP(D115,'G-6 Hedgerow Data'!$B$2:$AG$15,2,FALSE))</f>
        <v>Medium</v>
      </c>
      <c r="G115" s="363">
        <f>IF(D115="","",VLOOKUP(D115,'G-6 Hedgerow Data'!$B$2:$AG$15,3,FALSE))</f>
        <v>4</v>
      </c>
      <c r="H115" s="114" t="s">
        <v>68</v>
      </c>
      <c r="I115" s="363">
        <f>IFERROR(VLOOKUP(H115,'G-1 All Habitats'!$Z$2:$AA$9,2,FALSE),"")</f>
        <v>3</v>
      </c>
      <c r="J115" s="114" t="s">
        <v>1037</v>
      </c>
      <c r="K115" s="382" t="str">
        <f>IF(J115="","",IF(VLOOKUP(J115,'G-3 Multipliers'!$L$3:$N$6,2,FALSE)=0,"Spatial Data Missing ⚠",VLOOKUP(J115,'G-3 Multipliers'!$L$3:$N$6,2,FALSE)))</f>
        <v>Low Strategic Significance</v>
      </c>
      <c r="L115" s="368">
        <f>IF(J115="","",IF(VLOOKUP(J115,'G-3 Multipliers'!$L$3:$N$6,3,FALSE)=0,"Spatial Data Missing ⚠",VLOOKUP(J115,'G-3 Multipliers'!$L$3:$N$6,3,FALSE)))</f>
        <v>1</v>
      </c>
      <c r="M115" s="362">
        <f>IF(OR(D115="",H115=""),"",(INDEX('G-6 Hedgerow Data'!$E$3:$I$15,MATCH(D115,'G-6 Hedgerow Data'!$B$3:$B$15,0),MATCH(H115,'G-6 Hedgerow Data'!$E$2:$I$2,0))))</f>
        <v>12</v>
      </c>
      <c r="N115" s="159"/>
      <c r="O115" s="159"/>
      <c r="P115" s="370" t="str">
        <f t="shared" si="7"/>
        <v>Standard time to target condition applied</v>
      </c>
      <c r="Q115" s="383">
        <f t="shared" si="8"/>
        <v>12</v>
      </c>
      <c r="R115" s="384">
        <f t="shared" si="6"/>
        <v>0.65212036070000001</v>
      </c>
      <c r="S115" s="398" t="str">
        <f>IF(D115="","",VLOOKUP(D115,'G-6 Hedgerow Data'!$B$3:$AG$15,31,FALSE))</f>
        <v>Low</v>
      </c>
      <c r="T115" s="370" t="str">
        <f t="shared" si="9"/>
        <v>Standard difficulty applied</v>
      </c>
      <c r="U115" s="370" t="str">
        <f t="shared" si="10"/>
        <v>Low</v>
      </c>
      <c r="V115" s="386">
        <f>IF(D115="","",VLOOKUP(S115,'G-3 Multipliers'!$P$3:$Q$6,2,FALSE))</f>
        <v>1</v>
      </c>
      <c r="W115" s="390">
        <f t="shared" si="11"/>
        <v>1.2261681768352513</v>
      </c>
      <c r="X115" s="117"/>
      <c r="Y115" s="118"/>
      <c r="Z115" s="120"/>
      <c r="AG115" s="30" t="str">
        <f>IFERROR(INDEX('G-6 Hedgerow Data'!$BJ$3:$BJ$15,MATCH(D115,'G-6 Hedgerow Data'!$B$3:$B$15,0)),"")</f>
        <v>Hedgecond1</v>
      </c>
    </row>
    <row r="116" spans="2:33" ht="28.5" x14ac:dyDescent="0.2">
      <c r="B116" s="110">
        <v>105</v>
      </c>
      <c r="C116" s="167">
        <v>108</v>
      </c>
      <c r="D116" s="159" t="s">
        <v>171</v>
      </c>
      <c r="E116" s="139">
        <v>0.10756066377532851</v>
      </c>
      <c r="F116" s="411" t="str">
        <f>IF(D116="","",VLOOKUP(D116,'G-6 Hedgerow Data'!$B$2:$AG$15,2,FALSE))</f>
        <v>Medium</v>
      </c>
      <c r="G116" s="363">
        <f>IF(D116="","",VLOOKUP(D116,'G-6 Hedgerow Data'!$B$2:$AG$15,3,FALSE))</f>
        <v>4</v>
      </c>
      <c r="H116" s="114" t="s">
        <v>68</v>
      </c>
      <c r="I116" s="363">
        <f>IFERROR(VLOOKUP(H116,'G-1 All Habitats'!$Z$2:$AA$9,2,FALSE),"")</f>
        <v>3</v>
      </c>
      <c r="J116" s="114" t="s">
        <v>1037</v>
      </c>
      <c r="K116" s="382" t="str">
        <f>IF(J116="","",IF(VLOOKUP(J116,'G-3 Multipliers'!$L$3:$N$6,2,FALSE)=0,"Spatial Data Missing ⚠",VLOOKUP(J116,'G-3 Multipliers'!$L$3:$N$6,2,FALSE)))</f>
        <v>Low Strategic Significance</v>
      </c>
      <c r="L116" s="368">
        <f>IF(J116="","",IF(VLOOKUP(J116,'G-3 Multipliers'!$L$3:$N$6,3,FALSE)=0,"Spatial Data Missing ⚠",VLOOKUP(J116,'G-3 Multipliers'!$L$3:$N$6,3,FALSE)))</f>
        <v>1</v>
      </c>
      <c r="M116" s="362">
        <f>IF(OR(D116="",H116=""),"",(INDEX('G-6 Hedgerow Data'!$E$3:$I$15,MATCH(D116,'G-6 Hedgerow Data'!$B$3:$B$15,0),MATCH(H116,'G-6 Hedgerow Data'!$E$2:$I$2,0))))</f>
        <v>12</v>
      </c>
      <c r="N116" s="159"/>
      <c r="O116" s="159"/>
      <c r="P116" s="370" t="str">
        <f t="shared" si="7"/>
        <v>Standard time to target condition applied</v>
      </c>
      <c r="Q116" s="383">
        <f t="shared" si="8"/>
        <v>12</v>
      </c>
      <c r="R116" s="384">
        <f t="shared" si="6"/>
        <v>0.65212036070000001</v>
      </c>
      <c r="S116" s="398" t="str">
        <f>IF(D116="","",VLOOKUP(D116,'G-6 Hedgerow Data'!$B$3:$AG$15,31,FALSE))</f>
        <v>Low</v>
      </c>
      <c r="T116" s="370" t="str">
        <f t="shared" si="9"/>
        <v>Standard difficulty applied</v>
      </c>
      <c r="U116" s="370" t="str">
        <f t="shared" si="10"/>
        <v>Low</v>
      </c>
      <c r="V116" s="386">
        <f>IF(D116="","",VLOOKUP(S116,'G-3 Multipliers'!$P$3:$Q$6,2,FALSE))</f>
        <v>1</v>
      </c>
      <c r="W116" s="390">
        <f t="shared" si="11"/>
        <v>0.84170998629958382</v>
      </c>
      <c r="X116" s="117"/>
      <c r="Y116" s="118"/>
      <c r="Z116" s="120"/>
      <c r="AG116" s="30" t="str">
        <f>IFERROR(INDEX('G-6 Hedgerow Data'!$BJ$3:$BJ$15,MATCH(D116,'G-6 Hedgerow Data'!$B$3:$B$15,0)),"")</f>
        <v>Hedgecond1</v>
      </c>
    </row>
    <row r="117" spans="2:33" ht="28.5" x14ac:dyDescent="0.2">
      <c r="B117" s="110">
        <v>106</v>
      </c>
      <c r="C117" s="167">
        <v>109</v>
      </c>
      <c r="D117" s="159" t="s">
        <v>171</v>
      </c>
      <c r="E117" s="139">
        <v>0.55420937145022064</v>
      </c>
      <c r="F117" s="411" t="str">
        <f>IF(D117="","",VLOOKUP(D117,'G-6 Hedgerow Data'!$B$2:$AG$15,2,FALSE))</f>
        <v>Medium</v>
      </c>
      <c r="G117" s="363">
        <f>IF(D117="","",VLOOKUP(D117,'G-6 Hedgerow Data'!$B$2:$AG$15,3,FALSE))</f>
        <v>4</v>
      </c>
      <c r="H117" s="114" t="s">
        <v>68</v>
      </c>
      <c r="I117" s="363">
        <f>IFERROR(VLOOKUP(H117,'G-1 All Habitats'!$Z$2:$AA$9,2,FALSE),"")</f>
        <v>3</v>
      </c>
      <c r="J117" s="114" t="s">
        <v>1037</v>
      </c>
      <c r="K117" s="382" t="str">
        <f>IF(J117="","",IF(VLOOKUP(J117,'G-3 Multipliers'!$L$3:$N$6,2,FALSE)=0,"Spatial Data Missing ⚠",VLOOKUP(J117,'G-3 Multipliers'!$L$3:$N$6,2,FALSE)))</f>
        <v>Low Strategic Significance</v>
      </c>
      <c r="L117" s="368">
        <f>IF(J117="","",IF(VLOOKUP(J117,'G-3 Multipliers'!$L$3:$N$6,3,FALSE)=0,"Spatial Data Missing ⚠",VLOOKUP(J117,'G-3 Multipliers'!$L$3:$N$6,3,FALSE)))</f>
        <v>1</v>
      </c>
      <c r="M117" s="362">
        <f>IF(OR(D117="",H117=""),"",(INDEX('G-6 Hedgerow Data'!$E$3:$I$15,MATCH(D117,'G-6 Hedgerow Data'!$B$3:$B$15,0),MATCH(H117,'G-6 Hedgerow Data'!$E$2:$I$2,0))))</f>
        <v>12</v>
      </c>
      <c r="N117" s="159"/>
      <c r="O117" s="159"/>
      <c r="P117" s="370" t="str">
        <f t="shared" si="7"/>
        <v>Standard time to target condition applied</v>
      </c>
      <c r="Q117" s="383">
        <f t="shared" si="8"/>
        <v>12</v>
      </c>
      <c r="R117" s="384">
        <f t="shared" si="6"/>
        <v>0.65212036070000001</v>
      </c>
      <c r="S117" s="398" t="str">
        <f>IF(D117="","",VLOOKUP(D117,'G-6 Hedgerow Data'!$B$3:$AG$15,31,FALSE))</f>
        <v>Low</v>
      </c>
      <c r="T117" s="370" t="str">
        <f t="shared" si="9"/>
        <v>Standard difficulty applied</v>
      </c>
      <c r="U117" s="370" t="str">
        <f t="shared" si="10"/>
        <v>Low</v>
      </c>
      <c r="V117" s="386">
        <f>IF(D117="","",VLOOKUP(S117,'G-3 Multipliers'!$P$3:$Q$6,2,FALSE))</f>
        <v>1</v>
      </c>
      <c r="W117" s="390">
        <f t="shared" si="11"/>
        <v>4.3369345825612582</v>
      </c>
      <c r="X117" s="117"/>
      <c r="Y117" s="118"/>
      <c r="Z117" s="120"/>
      <c r="AG117" s="30" t="str">
        <f>IFERROR(INDEX('G-6 Hedgerow Data'!$BJ$3:$BJ$15,MATCH(D117,'G-6 Hedgerow Data'!$B$3:$B$15,0)),"")</f>
        <v>Hedgecond1</v>
      </c>
    </row>
    <row r="118" spans="2:33" ht="28.5" x14ac:dyDescent="0.2">
      <c r="B118" s="110">
        <v>107</v>
      </c>
      <c r="C118" s="167">
        <v>110</v>
      </c>
      <c r="D118" s="159" t="s">
        <v>171</v>
      </c>
      <c r="E118" s="139">
        <v>0.54584318268837351</v>
      </c>
      <c r="F118" s="411" t="str">
        <f>IF(D118="","",VLOOKUP(D118,'G-6 Hedgerow Data'!$B$2:$AG$15,2,FALSE))</f>
        <v>Medium</v>
      </c>
      <c r="G118" s="363">
        <f>IF(D118="","",VLOOKUP(D118,'G-6 Hedgerow Data'!$B$2:$AG$15,3,FALSE))</f>
        <v>4</v>
      </c>
      <c r="H118" s="114" t="s">
        <v>68</v>
      </c>
      <c r="I118" s="363">
        <f>IFERROR(VLOOKUP(H118,'G-1 All Habitats'!$Z$2:$AA$9,2,FALSE),"")</f>
        <v>3</v>
      </c>
      <c r="J118" s="114" t="s">
        <v>1037</v>
      </c>
      <c r="K118" s="382" t="str">
        <f>IF(J118="","",IF(VLOOKUP(J118,'G-3 Multipliers'!$L$3:$N$6,2,FALSE)=0,"Spatial Data Missing ⚠",VLOOKUP(J118,'G-3 Multipliers'!$L$3:$N$6,2,FALSE)))</f>
        <v>Low Strategic Significance</v>
      </c>
      <c r="L118" s="368">
        <f>IF(J118="","",IF(VLOOKUP(J118,'G-3 Multipliers'!$L$3:$N$6,3,FALSE)=0,"Spatial Data Missing ⚠",VLOOKUP(J118,'G-3 Multipliers'!$L$3:$N$6,3,FALSE)))</f>
        <v>1</v>
      </c>
      <c r="M118" s="362">
        <f>IF(OR(D118="",H118=""),"",(INDEX('G-6 Hedgerow Data'!$E$3:$I$15,MATCH(D118,'G-6 Hedgerow Data'!$B$3:$B$15,0),MATCH(H118,'G-6 Hedgerow Data'!$E$2:$I$2,0))))</f>
        <v>12</v>
      </c>
      <c r="N118" s="159"/>
      <c r="O118" s="159"/>
      <c r="P118" s="370" t="str">
        <f t="shared" si="7"/>
        <v>Standard time to target condition applied</v>
      </c>
      <c r="Q118" s="383">
        <f t="shared" si="8"/>
        <v>12</v>
      </c>
      <c r="R118" s="384">
        <f t="shared" si="6"/>
        <v>0.65212036070000001</v>
      </c>
      <c r="S118" s="398" t="str">
        <f>IF(D118="","",VLOOKUP(D118,'G-6 Hedgerow Data'!$B$3:$AG$15,31,FALSE))</f>
        <v>Low</v>
      </c>
      <c r="T118" s="370" t="str">
        <f t="shared" si="9"/>
        <v>Standard difficulty applied</v>
      </c>
      <c r="U118" s="370" t="str">
        <f t="shared" si="10"/>
        <v>Low</v>
      </c>
      <c r="V118" s="386">
        <f>IF(D118="","",VLOOKUP(S118,'G-3 Multipliers'!$P$3:$Q$6,2,FALSE))</f>
        <v>1</v>
      </c>
      <c r="W118" s="390">
        <f t="shared" si="11"/>
        <v>4.2714654381645376</v>
      </c>
      <c r="X118" s="117"/>
      <c r="Y118" s="118"/>
      <c r="Z118" s="120"/>
      <c r="AG118" s="30" t="str">
        <f>IFERROR(INDEX('G-6 Hedgerow Data'!$BJ$3:$BJ$15,MATCH(D118,'G-6 Hedgerow Data'!$B$3:$B$15,0)),"")</f>
        <v>Hedgecond1</v>
      </c>
    </row>
    <row r="119" spans="2:33" ht="28.5" x14ac:dyDescent="0.2">
      <c r="B119" s="110">
        <v>108</v>
      </c>
      <c r="C119" s="167">
        <v>112</v>
      </c>
      <c r="D119" s="159" t="s">
        <v>171</v>
      </c>
      <c r="E119" s="139">
        <v>0.1627805044751075</v>
      </c>
      <c r="F119" s="411" t="str">
        <f>IF(D119="","",VLOOKUP(D119,'G-6 Hedgerow Data'!$B$2:$AG$15,2,FALSE))</f>
        <v>Medium</v>
      </c>
      <c r="G119" s="363">
        <f>IF(D119="","",VLOOKUP(D119,'G-6 Hedgerow Data'!$B$2:$AG$15,3,FALSE))</f>
        <v>4</v>
      </c>
      <c r="H119" s="114" t="s">
        <v>68</v>
      </c>
      <c r="I119" s="363">
        <f>IFERROR(VLOOKUP(H119,'G-1 All Habitats'!$Z$2:$AA$9,2,FALSE),"")</f>
        <v>3</v>
      </c>
      <c r="J119" s="114" t="s">
        <v>1037</v>
      </c>
      <c r="K119" s="382" t="str">
        <f>IF(J119="","",IF(VLOOKUP(J119,'G-3 Multipliers'!$L$3:$N$6,2,FALSE)=0,"Spatial Data Missing ⚠",VLOOKUP(J119,'G-3 Multipliers'!$L$3:$N$6,2,FALSE)))</f>
        <v>Low Strategic Significance</v>
      </c>
      <c r="L119" s="368">
        <f>IF(J119="","",IF(VLOOKUP(J119,'G-3 Multipliers'!$L$3:$N$6,3,FALSE)=0,"Spatial Data Missing ⚠",VLOOKUP(J119,'G-3 Multipliers'!$L$3:$N$6,3,FALSE)))</f>
        <v>1</v>
      </c>
      <c r="M119" s="362">
        <f>IF(OR(D119="",H119=""),"",(INDEX('G-6 Hedgerow Data'!$E$3:$I$15,MATCH(D119,'G-6 Hedgerow Data'!$B$3:$B$15,0),MATCH(H119,'G-6 Hedgerow Data'!$E$2:$I$2,0))))</f>
        <v>12</v>
      </c>
      <c r="N119" s="159"/>
      <c r="O119" s="159"/>
      <c r="P119" s="370" t="str">
        <f t="shared" si="7"/>
        <v>Standard time to target condition applied</v>
      </c>
      <c r="Q119" s="383">
        <f t="shared" si="8"/>
        <v>12</v>
      </c>
      <c r="R119" s="384">
        <f t="shared" si="6"/>
        <v>0.65212036070000001</v>
      </c>
      <c r="S119" s="398" t="str">
        <f>IF(D119="","",VLOOKUP(D119,'G-6 Hedgerow Data'!$B$3:$AG$15,31,FALSE))</f>
        <v>Low</v>
      </c>
      <c r="T119" s="370" t="str">
        <f t="shared" si="9"/>
        <v>Standard difficulty applied</v>
      </c>
      <c r="U119" s="370" t="str">
        <f t="shared" si="10"/>
        <v>Low</v>
      </c>
      <c r="V119" s="386">
        <f>IF(D119="","",VLOOKUP(S119,'G-3 Multipliers'!$P$3:$Q$6,2,FALSE))</f>
        <v>1</v>
      </c>
      <c r="W119" s="390">
        <f t="shared" si="11"/>
        <v>1.2738297755188208</v>
      </c>
      <c r="X119" s="117"/>
      <c r="Y119" s="118"/>
      <c r="Z119" s="120"/>
      <c r="AG119" s="30" t="str">
        <f>IFERROR(INDEX('G-6 Hedgerow Data'!$BJ$3:$BJ$15,MATCH(D119,'G-6 Hedgerow Data'!$B$3:$B$15,0)),"")</f>
        <v>Hedgecond1</v>
      </c>
    </row>
    <row r="120" spans="2:33" ht="28.5" x14ac:dyDescent="0.2">
      <c r="B120" s="110">
        <v>109</v>
      </c>
      <c r="C120" s="167">
        <v>113</v>
      </c>
      <c r="D120" s="159" t="s">
        <v>171</v>
      </c>
      <c r="E120" s="139">
        <v>0.2189713485230535</v>
      </c>
      <c r="F120" s="411" t="str">
        <f>IF(D120="","",VLOOKUP(D120,'G-6 Hedgerow Data'!$B$2:$AG$15,2,FALSE))</f>
        <v>Medium</v>
      </c>
      <c r="G120" s="363">
        <f>IF(D120="","",VLOOKUP(D120,'G-6 Hedgerow Data'!$B$2:$AG$15,3,FALSE))</f>
        <v>4</v>
      </c>
      <c r="H120" s="114" t="s">
        <v>68</v>
      </c>
      <c r="I120" s="363">
        <f>IFERROR(VLOOKUP(H120,'G-1 All Habitats'!$Z$2:$AA$9,2,FALSE),"")</f>
        <v>3</v>
      </c>
      <c r="J120" s="114" t="s">
        <v>1037</v>
      </c>
      <c r="K120" s="382" t="str">
        <f>IF(J120="","",IF(VLOOKUP(J120,'G-3 Multipliers'!$L$3:$N$6,2,FALSE)=0,"Spatial Data Missing ⚠",VLOOKUP(J120,'G-3 Multipliers'!$L$3:$N$6,2,FALSE)))</f>
        <v>Low Strategic Significance</v>
      </c>
      <c r="L120" s="368">
        <f>IF(J120="","",IF(VLOOKUP(J120,'G-3 Multipliers'!$L$3:$N$6,3,FALSE)=0,"Spatial Data Missing ⚠",VLOOKUP(J120,'G-3 Multipliers'!$L$3:$N$6,3,FALSE)))</f>
        <v>1</v>
      </c>
      <c r="M120" s="362">
        <f>IF(OR(D120="",H120=""),"",(INDEX('G-6 Hedgerow Data'!$E$3:$I$15,MATCH(D120,'G-6 Hedgerow Data'!$B$3:$B$15,0),MATCH(H120,'G-6 Hedgerow Data'!$E$2:$I$2,0))))</f>
        <v>12</v>
      </c>
      <c r="N120" s="159"/>
      <c r="O120" s="159"/>
      <c r="P120" s="370" t="str">
        <f t="shared" si="7"/>
        <v>Standard time to target condition applied</v>
      </c>
      <c r="Q120" s="383">
        <f t="shared" si="8"/>
        <v>12</v>
      </c>
      <c r="R120" s="384">
        <f t="shared" si="6"/>
        <v>0.65212036070000001</v>
      </c>
      <c r="S120" s="398" t="str">
        <f>IF(D120="","",VLOOKUP(D120,'G-6 Hedgerow Data'!$B$3:$AG$15,31,FALSE))</f>
        <v>Low</v>
      </c>
      <c r="T120" s="370" t="str">
        <f t="shared" si="9"/>
        <v>Standard difficulty applied</v>
      </c>
      <c r="U120" s="370" t="str">
        <f t="shared" si="10"/>
        <v>Low</v>
      </c>
      <c r="V120" s="386">
        <f>IF(D120="","",VLOOKUP(S120,'G-3 Multipliers'!$P$3:$Q$6,2,FALSE))</f>
        <v>1</v>
      </c>
      <c r="W120" s="390">
        <f t="shared" si="11"/>
        <v>1.7135480973818287</v>
      </c>
      <c r="X120" s="117"/>
      <c r="Y120" s="118"/>
      <c r="Z120" s="120"/>
      <c r="AG120" s="30" t="str">
        <f>IFERROR(INDEX('G-6 Hedgerow Data'!$BJ$3:$BJ$15,MATCH(D120,'G-6 Hedgerow Data'!$B$3:$B$15,0)),"")</f>
        <v>Hedgecond1</v>
      </c>
    </row>
    <row r="121" spans="2:33" ht="28.5" x14ac:dyDescent="0.2">
      <c r="B121" s="110">
        <v>110</v>
      </c>
      <c r="C121" s="167">
        <v>114</v>
      </c>
      <c r="D121" s="159" t="s">
        <v>171</v>
      </c>
      <c r="E121" s="139">
        <v>0.19594429670832741</v>
      </c>
      <c r="F121" s="411" t="str">
        <f>IF(D121="","",VLOOKUP(D121,'G-6 Hedgerow Data'!$B$2:$AG$15,2,FALSE))</f>
        <v>Medium</v>
      </c>
      <c r="G121" s="363">
        <f>IF(D121="","",VLOOKUP(D121,'G-6 Hedgerow Data'!$B$2:$AG$15,3,FALSE))</f>
        <v>4</v>
      </c>
      <c r="H121" s="114" t="s">
        <v>68</v>
      </c>
      <c r="I121" s="363">
        <f>IFERROR(VLOOKUP(H121,'G-1 All Habitats'!$Z$2:$AA$9,2,FALSE),"")</f>
        <v>3</v>
      </c>
      <c r="J121" s="114" t="s">
        <v>1037</v>
      </c>
      <c r="K121" s="382" t="str">
        <f>IF(J121="","",IF(VLOOKUP(J121,'G-3 Multipliers'!$L$3:$N$6,2,FALSE)=0,"Spatial Data Missing ⚠",VLOOKUP(J121,'G-3 Multipliers'!$L$3:$N$6,2,FALSE)))</f>
        <v>Low Strategic Significance</v>
      </c>
      <c r="L121" s="368">
        <f>IF(J121="","",IF(VLOOKUP(J121,'G-3 Multipliers'!$L$3:$N$6,3,FALSE)=0,"Spatial Data Missing ⚠",VLOOKUP(J121,'G-3 Multipliers'!$L$3:$N$6,3,FALSE)))</f>
        <v>1</v>
      </c>
      <c r="M121" s="362">
        <f>IF(OR(D121="",H121=""),"",(INDEX('G-6 Hedgerow Data'!$E$3:$I$15,MATCH(D121,'G-6 Hedgerow Data'!$B$3:$B$15,0),MATCH(H121,'G-6 Hedgerow Data'!$E$2:$I$2,0))))</f>
        <v>12</v>
      </c>
      <c r="N121" s="159"/>
      <c r="O121" s="159"/>
      <c r="P121" s="370" t="str">
        <f t="shared" si="7"/>
        <v>Standard time to target condition applied</v>
      </c>
      <c r="Q121" s="383">
        <f t="shared" si="8"/>
        <v>12</v>
      </c>
      <c r="R121" s="384">
        <f t="shared" si="6"/>
        <v>0.65212036070000001</v>
      </c>
      <c r="S121" s="398" t="str">
        <f>IF(D121="","",VLOOKUP(D121,'G-6 Hedgerow Data'!$B$3:$AG$15,31,FALSE))</f>
        <v>Low</v>
      </c>
      <c r="T121" s="370" t="str">
        <f t="shared" si="9"/>
        <v>Standard difficulty applied</v>
      </c>
      <c r="U121" s="370" t="str">
        <f t="shared" si="10"/>
        <v>Low</v>
      </c>
      <c r="V121" s="386">
        <f>IF(D121="","",VLOOKUP(S121,'G-3 Multipliers'!$P$3:$Q$6,2,FALSE))</f>
        <v>1</v>
      </c>
      <c r="W121" s="390">
        <f t="shared" si="11"/>
        <v>1.5333511853585078</v>
      </c>
      <c r="X121" s="117"/>
      <c r="Y121" s="118"/>
      <c r="Z121" s="120"/>
      <c r="AG121" s="30" t="str">
        <f>IFERROR(INDEX('G-6 Hedgerow Data'!$BJ$3:$BJ$15,MATCH(D121,'G-6 Hedgerow Data'!$B$3:$B$15,0)),"")</f>
        <v>Hedgecond1</v>
      </c>
    </row>
    <row r="122" spans="2:33" ht="28.5" x14ac:dyDescent="0.2">
      <c r="B122" s="110">
        <v>111</v>
      </c>
      <c r="C122" s="167">
        <v>116</v>
      </c>
      <c r="D122" s="159" t="s">
        <v>171</v>
      </c>
      <c r="E122" s="139">
        <v>0.13587197637029971</v>
      </c>
      <c r="F122" s="411" t="str">
        <f>IF(D122="","",VLOOKUP(D122,'G-6 Hedgerow Data'!$B$2:$AG$15,2,FALSE))</f>
        <v>Medium</v>
      </c>
      <c r="G122" s="363">
        <f>IF(D122="","",VLOOKUP(D122,'G-6 Hedgerow Data'!$B$2:$AG$15,3,FALSE))</f>
        <v>4</v>
      </c>
      <c r="H122" s="114" t="s">
        <v>68</v>
      </c>
      <c r="I122" s="363">
        <f>IFERROR(VLOOKUP(H122,'G-1 All Habitats'!$Z$2:$AA$9,2,FALSE),"")</f>
        <v>3</v>
      </c>
      <c r="J122" s="114" t="s">
        <v>1037</v>
      </c>
      <c r="K122" s="382" t="str">
        <f>IF(J122="","",IF(VLOOKUP(J122,'G-3 Multipliers'!$L$3:$N$6,2,FALSE)=0,"Spatial Data Missing ⚠",VLOOKUP(J122,'G-3 Multipliers'!$L$3:$N$6,2,FALSE)))</f>
        <v>Low Strategic Significance</v>
      </c>
      <c r="L122" s="368">
        <f>IF(J122="","",IF(VLOOKUP(J122,'G-3 Multipliers'!$L$3:$N$6,3,FALSE)=0,"Spatial Data Missing ⚠",VLOOKUP(J122,'G-3 Multipliers'!$L$3:$N$6,3,FALSE)))</f>
        <v>1</v>
      </c>
      <c r="M122" s="362">
        <f>IF(OR(D122="",H122=""),"",(INDEX('G-6 Hedgerow Data'!$E$3:$I$15,MATCH(D122,'G-6 Hedgerow Data'!$B$3:$B$15,0),MATCH(H122,'G-6 Hedgerow Data'!$E$2:$I$2,0))))</f>
        <v>12</v>
      </c>
      <c r="N122" s="159"/>
      <c r="O122" s="159"/>
      <c r="P122" s="370" t="str">
        <f t="shared" si="7"/>
        <v>Standard time to target condition applied</v>
      </c>
      <c r="Q122" s="383">
        <f t="shared" si="8"/>
        <v>12</v>
      </c>
      <c r="R122" s="384">
        <f t="shared" si="6"/>
        <v>0.65212036070000001</v>
      </c>
      <c r="S122" s="398" t="str">
        <f>IF(D122="","",VLOOKUP(D122,'G-6 Hedgerow Data'!$B$3:$AG$15,31,FALSE))</f>
        <v>Low</v>
      </c>
      <c r="T122" s="370" t="str">
        <f t="shared" si="9"/>
        <v>Standard difficulty applied</v>
      </c>
      <c r="U122" s="370" t="str">
        <f t="shared" si="10"/>
        <v>Low</v>
      </c>
      <c r="V122" s="386">
        <f>IF(D122="","",VLOOKUP(S122,'G-3 Multipliers'!$P$3:$Q$6,2,FALSE))</f>
        <v>1</v>
      </c>
      <c r="W122" s="390">
        <f t="shared" si="11"/>
        <v>1.0632585868754607</v>
      </c>
      <c r="X122" s="117"/>
      <c r="Y122" s="118"/>
      <c r="Z122" s="120"/>
      <c r="AG122" s="30" t="str">
        <f>IFERROR(INDEX('G-6 Hedgerow Data'!$BJ$3:$BJ$15,MATCH(D122,'G-6 Hedgerow Data'!$B$3:$B$15,0)),"")</f>
        <v>Hedgecond1</v>
      </c>
    </row>
    <row r="123" spans="2:33" ht="28.5" x14ac:dyDescent="0.2">
      <c r="B123" s="110">
        <v>112</v>
      </c>
      <c r="C123" s="167">
        <v>117</v>
      </c>
      <c r="D123" s="159" t="s">
        <v>171</v>
      </c>
      <c r="E123" s="139">
        <v>0.13153238880073911</v>
      </c>
      <c r="F123" s="411" t="str">
        <f>IF(D123="","",VLOOKUP(D123,'G-6 Hedgerow Data'!$B$2:$AG$15,2,FALSE))</f>
        <v>Medium</v>
      </c>
      <c r="G123" s="363">
        <f>IF(D123="","",VLOOKUP(D123,'G-6 Hedgerow Data'!$B$2:$AG$15,3,FALSE))</f>
        <v>4</v>
      </c>
      <c r="H123" s="114" t="s">
        <v>68</v>
      </c>
      <c r="I123" s="363">
        <f>IFERROR(VLOOKUP(H123,'G-1 All Habitats'!$Z$2:$AA$9,2,FALSE),"")</f>
        <v>3</v>
      </c>
      <c r="J123" s="114" t="s">
        <v>1037</v>
      </c>
      <c r="K123" s="382" t="str">
        <f>IF(J123="","",IF(VLOOKUP(J123,'G-3 Multipliers'!$L$3:$N$6,2,FALSE)=0,"Spatial Data Missing ⚠",VLOOKUP(J123,'G-3 Multipliers'!$L$3:$N$6,2,FALSE)))</f>
        <v>Low Strategic Significance</v>
      </c>
      <c r="L123" s="368">
        <f>IF(J123="","",IF(VLOOKUP(J123,'G-3 Multipliers'!$L$3:$N$6,3,FALSE)=0,"Spatial Data Missing ⚠",VLOOKUP(J123,'G-3 Multipliers'!$L$3:$N$6,3,FALSE)))</f>
        <v>1</v>
      </c>
      <c r="M123" s="362">
        <f>IF(OR(D123="",H123=""),"",(INDEX('G-6 Hedgerow Data'!$E$3:$I$15,MATCH(D123,'G-6 Hedgerow Data'!$B$3:$B$15,0),MATCH(H123,'G-6 Hedgerow Data'!$E$2:$I$2,0))))</f>
        <v>12</v>
      </c>
      <c r="N123" s="159"/>
      <c r="O123" s="159"/>
      <c r="P123" s="370" t="str">
        <f t="shared" si="7"/>
        <v>Standard time to target condition applied</v>
      </c>
      <c r="Q123" s="383">
        <f t="shared" si="8"/>
        <v>12</v>
      </c>
      <c r="R123" s="384">
        <f t="shared" si="6"/>
        <v>0.65212036070000001</v>
      </c>
      <c r="S123" s="398" t="str">
        <f>IF(D123="","",VLOOKUP(D123,'G-6 Hedgerow Data'!$B$3:$AG$15,31,FALSE))</f>
        <v>Low</v>
      </c>
      <c r="T123" s="370" t="str">
        <f t="shared" si="9"/>
        <v>Standard difficulty applied</v>
      </c>
      <c r="U123" s="370" t="str">
        <f t="shared" si="10"/>
        <v>Low</v>
      </c>
      <c r="V123" s="386">
        <f>IF(D123="","",VLOOKUP(S123,'G-3 Multipliers'!$P$3:$Q$6,2,FALSE))</f>
        <v>1</v>
      </c>
      <c r="W123" s="390">
        <f t="shared" si="11"/>
        <v>1.0292993859416475</v>
      </c>
      <c r="X123" s="117"/>
      <c r="Y123" s="118"/>
      <c r="Z123" s="120"/>
      <c r="AG123" s="30" t="str">
        <f>IFERROR(INDEX('G-6 Hedgerow Data'!$BJ$3:$BJ$15,MATCH(D123,'G-6 Hedgerow Data'!$B$3:$B$15,0)),"")</f>
        <v>Hedgecond1</v>
      </c>
    </row>
    <row r="124" spans="2:33" ht="28.5" x14ac:dyDescent="0.2">
      <c r="B124" s="110">
        <v>113</v>
      </c>
      <c r="C124" s="167">
        <v>118</v>
      </c>
      <c r="D124" s="159" t="s">
        <v>171</v>
      </c>
      <c r="E124" s="139">
        <v>0.33031090619787895</v>
      </c>
      <c r="F124" s="411" t="str">
        <f>IF(D124="","",VLOOKUP(D124,'G-6 Hedgerow Data'!$B$2:$AG$15,2,FALSE))</f>
        <v>Medium</v>
      </c>
      <c r="G124" s="363">
        <f>IF(D124="","",VLOOKUP(D124,'G-6 Hedgerow Data'!$B$2:$AG$15,3,FALSE))</f>
        <v>4</v>
      </c>
      <c r="H124" s="114" t="s">
        <v>68</v>
      </c>
      <c r="I124" s="363">
        <f>IFERROR(VLOOKUP(H124,'G-1 All Habitats'!$Z$2:$AA$9,2,FALSE),"")</f>
        <v>3</v>
      </c>
      <c r="J124" s="114" t="s">
        <v>1037</v>
      </c>
      <c r="K124" s="382" t="str">
        <f>IF(J124="","",IF(VLOOKUP(J124,'G-3 Multipliers'!$L$3:$N$6,2,FALSE)=0,"Spatial Data Missing ⚠",VLOOKUP(J124,'G-3 Multipliers'!$L$3:$N$6,2,FALSE)))</f>
        <v>Low Strategic Significance</v>
      </c>
      <c r="L124" s="368">
        <f>IF(J124="","",IF(VLOOKUP(J124,'G-3 Multipliers'!$L$3:$N$6,3,FALSE)=0,"Spatial Data Missing ⚠",VLOOKUP(J124,'G-3 Multipliers'!$L$3:$N$6,3,FALSE)))</f>
        <v>1</v>
      </c>
      <c r="M124" s="362">
        <f>IF(OR(D124="",H124=""),"",(INDEX('G-6 Hedgerow Data'!$E$3:$I$15,MATCH(D124,'G-6 Hedgerow Data'!$B$3:$B$15,0),MATCH(H124,'G-6 Hedgerow Data'!$E$2:$I$2,0))))</f>
        <v>12</v>
      </c>
      <c r="N124" s="159"/>
      <c r="O124" s="159"/>
      <c r="P124" s="370" t="str">
        <f t="shared" si="7"/>
        <v>Standard time to target condition applied</v>
      </c>
      <c r="Q124" s="383">
        <f t="shared" si="8"/>
        <v>12</v>
      </c>
      <c r="R124" s="384">
        <f t="shared" si="6"/>
        <v>0.65212036070000001</v>
      </c>
      <c r="S124" s="398" t="str">
        <f>IF(D124="","",VLOOKUP(D124,'G-6 Hedgerow Data'!$B$3:$AG$15,31,FALSE))</f>
        <v>Low</v>
      </c>
      <c r="T124" s="370" t="str">
        <f t="shared" si="9"/>
        <v>Standard difficulty applied</v>
      </c>
      <c r="U124" s="370" t="str">
        <f t="shared" si="10"/>
        <v>Low</v>
      </c>
      <c r="V124" s="386">
        <f>IF(D124="","",VLOOKUP(S124,'G-3 Multipliers'!$P$3:$Q$6,2,FALSE))</f>
        <v>1</v>
      </c>
      <c r="W124" s="390">
        <f t="shared" si="11"/>
        <v>2.5848296075148562</v>
      </c>
      <c r="X124" s="117"/>
      <c r="Y124" s="118"/>
      <c r="Z124" s="120"/>
      <c r="AG124" s="30" t="str">
        <f>IFERROR(INDEX('G-6 Hedgerow Data'!$BJ$3:$BJ$15,MATCH(D124,'G-6 Hedgerow Data'!$B$3:$B$15,0)),"")</f>
        <v>Hedgecond1</v>
      </c>
    </row>
    <row r="125" spans="2:33" ht="28.5" x14ac:dyDescent="0.2">
      <c r="B125" s="110">
        <v>114</v>
      </c>
      <c r="C125" s="167">
        <v>121</v>
      </c>
      <c r="D125" s="159" t="s">
        <v>171</v>
      </c>
      <c r="E125" s="139">
        <v>1.8815951006050418E-2</v>
      </c>
      <c r="F125" s="411" t="str">
        <f>IF(D125="","",VLOOKUP(D125,'G-6 Hedgerow Data'!$B$2:$AG$15,2,FALSE))</f>
        <v>Medium</v>
      </c>
      <c r="G125" s="363">
        <f>IF(D125="","",VLOOKUP(D125,'G-6 Hedgerow Data'!$B$2:$AG$15,3,FALSE))</f>
        <v>4</v>
      </c>
      <c r="H125" s="114" t="s">
        <v>68</v>
      </c>
      <c r="I125" s="363">
        <f>IFERROR(VLOOKUP(H125,'G-1 All Habitats'!$Z$2:$AA$9,2,FALSE),"")</f>
        <v>3</v>
      </c>
      <c r="J125" s="114" t="s">
        <v>1037</v>
      </c>
      <c r="K125" s="382" t="str">
        <f>IF(J125="","",IF(VLOOKUP(J125,'G-3 Multipliers'!$L$3:$N$6,2,FALSE)=0,"Spatial Data Missing ⚠",VLOOKUP(J125,'G-3 Multipliers'!$L$3:$N$6,2,FALSE)))</f>
        <v>Low Strategic Significance</v>
      </c>
      <c r="L125" s="368">
        <f>IF(J125="","",IF(VLOOKUP(J125,'G-3 Multipliers'!$L$3:$N$6,3,FALSE)=0,"Spatial Data Missing ⚠",VLOOKUP(J125,'G-3 Multipliers'!$L$3:$N$6,3,FALSE)))</f>
        <v>1</v>
      </c>
      <c r="M125" s="362">
        <f>IF(OR(D125="",H125=""),"",(INDEX('G-6 Hedgerow Data'!$E$3:$I$15,MATCH(D125,'G-6 Hedgerow Data'!$B$3:$B$15,0),MATCH(H125,'G-6 Hedgerow Data'!$E$2:$I$2,0))))</f>
        <v>12</v>
      </c>
      <c r="N125" s="159"/>
      <c r="O125" s="159"/>
      <c r="P125" s="370" t="str">
        <f t="shared" si="7"/>
        <v>Standard time to target condition applied</v>
      </c>
      <c r="Q125" s="383">
        <f t="shared" si="8"/>
        <v>12</v>
      </c>
      <c r="R125" s="384">
        <f t="shared" si="6"/>
        <v>0.65212036070000001</v>
      </c>
      <c r="S125" s="398" t="str">
        <f>IF(D125="","",VLOOKUP(D125,'G-6 Hedgerow Data'!$B$3:$AG$15,31,FALSE))</f>
        <v>Low</v>
      </c>
      <c r="T125" s="370" t="str">
        <f t="shared" si="9"/>
        <v>Standard difficulty applied</v>
      </c>
      <c r="U125" s="370" t="str">
        <f t="shared" si="10"/>
        <v>Low</v>
      </c>
      <c r="V125" s="386">
        <f>IF(D125="","",VLOOKUP(S125,'G-3 Multipliers'!$P$3:$Q$6,2,FALSE))</f>
        <v>1</v>
      </c>
      <c r="W125" s="390">
        <f t="shared" si="11"/>
        <v>0.14724317708374951</v>
      </c>
      <c r="X125" s="117"/>
      <c r="Y125" s="118"/>
      <c r="Z125" s="120"/>
      <c r="AG125" s="30" t="str">
        <f>IFERROR(INDEX('G-6 Hedgerow Data'!$BJ$3:$BJ$15,MATCH(D125,'G-6 Hedgerow Data'!$B$3:$B$15,0)),"")</f>
        <v>Hedgecond1</v>
      </c>
    </row>
    <row r="126" spans="2:33" ht="28.5" x14ac:dyDescent="0.2">
      <c r="B126" s="110">
        <v>115</v>
      </c>
      <c r="C126" s="167">
        <v>123</v>
      </c>
      <c r="D126" s="159" t="s">
        <v>171</v>
      </c>
      <c r="E126" s="139">
        <v>0.21330646679127171</v>
      </c>
      <c r="F126" s="411" t="str">
        <f>IF(D126="","",VLOOKUP(D126,'G-6 Hedgerow Data'!$B$2:$AG$15,2,FALSE))</f>
        <v>Medium</v>
      </c>
      <c r="G126" s="363">
        <f>IF(D126="","",VLOOKUP(D126,'G-6 Hedgerow Data'!$B$2:$AG$15,3,FALSE))</f>
        <v>4</v>
      </c>
      <c r="H126" s="114" t="s">
        <v>68</v>
      </c>
      <c r="I126" s="363">
        <f>IFERROR(VLOOKUP(H126,'G-1 All Habitats'!$Z$2:$AA$9,2,FALSE),"")</f>
        <v>3</v>
      </c>
      <c r="J126" s="114" t="s">
        <v>1037</v>
      </c>
      <c r="K126" s="382" t="str">
        <f>IF(J126="","",IF(VLOOKUP(J126,'G-3 Multipliers'!$L$3:$N$6,2,FALSE)=0,"Spatial Data Missing ⚠",VLOOKUP(J126,'G-3 Multipliers'!$L$3:$N$6,2,FALSE)))</f>
        <v>Low Strategic Significance</v>
      </c>
      <c r="L126" s="368">
        <f>IF(J126="","",IF(VLOOKUP(J126,'G-3 Multipliers'!$L$3:$N$6,3,FALSE)=0,"Spatial Data Missing ⚠",VLOOKUP(J126,'G-3 Multipliers'!$L$3:$N$6,3,FALSE)))</f>
        <v>1</v>
      </c>
      <c r="M126" s="362">
        <f>IF(OR(D126="",H126=""),"",(INDEX('G-6 Hedgerow Data'!$E$3:$I$15,MATCH(D126,'G-6 Hedgerow Data'!$B$3:$B$15,0),MATCH(H126,'G-6 Hedgerow Data'!$E$2:$I$2,0))))</f>
        <v>12</v>
      </c>
      <c r="N126" s="159"/>
      <c r="O126" s="159"/>
      <c r="P126" s="370" t="str">
        <f t="shared" si="7"/>
        <v>Standard time to target condition applied</v>
      </c>
      <c r="Q126" s="383">
        <f t="shared" si="8"/>
        <v>12</v>
      </c>
      <c r="R126" s="384">
        <f t="shared" si="6"/>
        <v>0.65212036070000001</v>
      </c>
      <c r="S126" s="398" t="str">
        <f>IF(D126="","",VLOOKUP(D126,'G-6 Hedgerow Data'!$B$3:$AG$15,31,FALSE))</f>
        <v>Low</v>
      </c>
      <c r="T126" s="370" t="str">
        <f t="shared" si="9"/>
        <v>Standard difficulty applied</v>
      </c>
      <c r="U126" s="370" t="str">
        <f t="shared" si="10"/>
        <v>Low</v>
      </c>
      <c r="V126" s="386">
        <f>IF(D126="","",VLOOKUP(S126,'G-3 Multipliers'!$P$3:$Q$6,2,FALSE))</f>
        <v>1</v>
      </c>
      <c r="W126" s="390">
        <f t="shared" si="11"/>
        <v>1.6692178807628002</v>
      </c>
      <c r="X126" s="117"/>
      <c r="Y126" s="118"/>
      <c r="Z126" s="120"/>
      <c r="AG126" s="30" t="str">
        <f>IFERROR(INDEX('G-6 Hedgerow Data'!$BJ$3:$BJ$15,MATCH(D126,'G-6 Hedgerow Data'!$B$3:$B$15,0)),"")</f>
        <v>Hedgecond1</v>
      </c>
    </row>
    <row r="127" spans="2:33" ht="28.5" x14ac:dyDescent="0.2">
      <c r="B127" s="110">
        <v>116</v>
      </c>
      <c r="C127" s="167">
        <v>128</v>
      </c>
      <c r="D127" s="159" t="s">
        <v>171</v>
      </c>
      <c r="E127" s="139">
        <v>7.9185158017197055E-2</v>
      </c>
      <c r="F127" s="411" t="str">
        <f>IF(D127="","",VLOOKUP(D127,'G-6 Hedgerow Data'!$B$2:$AG$15,2,FALSE))</f>
        <v>Medium</v>
      </c>
      <c r="G127" s="363">
        <f>IF(D127="","",VLOOKUP(D127,'G-6 Hedgerow Data'!$B$2:$AG$15,3,FALSE))</f>
        <v>4</v>
      </c>
      <c r="H127" s="114" t="s">
        <v>68</v>
      </c>
      <c r="I127" s="363">
        <f>IFERROR(VLOOKUP(H127,'G-1 All Habitats'!$Z$2:$AA$9,2,FALSE),"")</f>
        <v>3</v>
      </c>
      <c r="J127" s="114" t="s">
        <v>1037</v>
      </c>
      <c r="K127" s="382" t="str">
        <f>IF(J127="","",IF(VLOOKUP(J127,'G-3 Multipliers'!$L$3:$N$6,2,FALSE)=0,"Spatial Data Missing ⚠",VLOOKUP(J127,'G-3 Multipliers'!$L$3:$N$6,2,FALSE)))</f>
        <v>Low Strategic Significance</v>
      </c>
      <c r="L127" s="368">
        <f>IF(J127="","",IF(VLOOKUP(J127,'G-3 Multipliers'!$L$3:$N$6,3,FALSE)=0,"Spatial Data Missing ⚠",VLOOKUP(J127,'G-3 Multipliers'!$L$3:$N$6,3,FALSE)))</f>
        <v>1</v>
      </c>
      <c r="M127" s="362">
        <f>IF(OR(D127="",H127=""),"",(INDEX('G-6 Hedgerow Data'!$E$3:$I$15,MATCH(D127,'G-6 Hedgerow Data'!$B$3:$B$15,0),MATCH(H127,'G-6 Hedgerow Data'!$E$2:$I$2,0))))</f>
        <v>12</v>
      </c>
      <c r="N127" s="159"/>
      <c r="O127" s="159"/>
      <c r="P127" s="370" t="str">
        <f t="shared" si="7"/>
        <v>Standard time to target condition applied</v>
      </c>
      <c r="Q127" s="383">
        <f t="shared" si="8"/>
        <v>12</v>
      </c>
      <c r="R127" s="384">
        <f t="shared" si="6"/>
        <v>0.65212036070000001</v>
      </c>
      <c r="S127" s="398" t="str">
        <f>IF(D127="","",VLOOKUP(D127,'G-6 Hedgerow Data'!$B$3:$AG$15,31,FALSE))</f>
        <v>Low</v>
      </c>
      <c r="T127" s="370" t="str">
        <f t="shared" si="9"/>
        <v>Standard difficulty applied</v>
      </c>
      <c r="U127" s="370" t="str">
        <f t="shared" si="10"/>
        <v>Low</v>
      </c>
      <c r="V127" s="386">
        <f>IF(D127="","",VLOOKUP(S127,'G-3 Multipliers'!$P$3:$Q$6,2,FALSE))</f>
        <v>1</v>
      </c>
      <c r="W127" s="390">
        <f t="shared" si="11"/>
        <v>0.61965904569913255</v>
      </c>
      <c r="X127" s="117"/>
      <c r="Y127" s="118"/>
      <c r="Z127" s="120"/>
      <c r="AG127" s="30" t="str">
        <f>IFERROR(INDEX('G-6 Hedgerow Data'!$BJ$3:$BJ$15,MATCH(D127,'G-6 Hedgerow Data'!$B$3:$B$15,0)),"")</f>
        <v>Hedgecond1</v>
      </c>
    </row>
    <row r="128" spans="2:33" ht="28.5" x14ac:dyDescent="0.2">
      <c r="B128" s="110">
        <v>117</v>
      </c>
      <c r="C128" s="167">
        <v>131</v>
      </c>
      <c r="D128" s="159" t="s">
        <v>171</v>
      </c>
      <c r="E128" s="139">
        <v>0.14883991622432291</v>
      </c>
      <c r="F128" s="411" t="str">
        <f>IF(D128="","",VLOOKUP(D128,'G-6 Hedgerow Data'!$B$2:$AG$15,2,FALSE))</f>
        <v>Medium</v>
      </c>
      <c r="G128" s="363">
        <f>IF(D128="","",VLOOKUP(D128,'G-6 Hedgerow Data'!$B$2:$AG$15,3,FALSE))</f>
        <v>4</v>
      </c>
      <c r="H128" s="114" t="s">
        <v>68</v>
      </c>
      <c r="I128" s="363">
        <f>IFERROR(VLOOKUP(H128,'G-1 All Habitats'!$Z$2:$AA$9,2,FALSE),"")</f>
        <v>3</v>
      </c>
      <c r="J128" s="114" t="s">
        <v>1037</v>
      </c>
      <c r="K128" s="382" t="str">
        <f>IF(J128="","",IF(VLOOKUP(J128,'G-3 Multipliers'!$L$3:$N$6,2,FALSE)=0,"Spatial Data Missing ⚠",VLOOKUP(J128,'G-3 Multipliers'!$L$3:$N$6,2,FALSE)))</f>
        <v>Low Strategic Significance</v>
      </c>
      <c r="L128" s="368">
        <f>IF(J128="","",IF(VLOOKUP(J128,'G-3 Multipliers'!$L$3:$N$6,3,FALSE)=0,"Spatial Data Missing ⚠",VLOOKUP(J128,'G-3 Multipliers'!$L$3:$N$6,3,FALSE)))</f>
        <v>1</v>
      </c>
      <c r="M128" s="362">
        <f>IF(OR(D128="",H128=""),"",(INDEX('G-6 Hedgerow Data'!$E$3:$I$15,MATCH(D128,'G-6 Hedgerow Data'!$B$3:$B$15,0),MATCH(H128,'G-6 Hedgerow Data'!$E$2:$I$2,0))))</f>
        <v>12</v>
      </c>
      <c r="N128" s="159"/>
      <c r="O128" s="159"/>
      <c r="P128" s="370" t="str">
        <f t="shared" si="7"/>
        <v>Standard time to target condition applied</v>
      </c>
      <c r="Q128" s="383">
        <f t="shared" si="8"/>
        <v>12</v>
      </c>
      <c r="R128" s="384">
        <f t="shared" si="6"/>
        <v>0.65212036070000001</v>
      </c>
      <c r="S128" s="398" t="str">
        <f>IF(D128="","",VLOOKUP(D128,'G-6 Hedgerow Data'!$B$3:$AG$15,31,FALSE))</f>
        <v>Low</v>
      </c>
      <c r="T128" s="370" t="str">
        <f t="shared" si="9"/>
        <v>Standard difficulty applied</v>
      </c>
      <c r="U128" s="370" t="str">
        <f t="shared" si="10"/>
        <v>Low</v>
      </c>
      <c r="V128" s="386">
        <f>IF(D128="","",VLOOKUP(S128,'G-3 Multipliers'!$P$3:$Q$6,2,FALSE))</f>
        <v>1</v>
      </c>
      <c r="W128" s="390">
        <f t="shared" si="11"/>
        <v>1.1647384782571588</v>
      </c>
      <c r="X128" s="117"/>
      <c r="Y128" s="118"/>
      <c r="Z128" s="120"/>
      <c r="AG128" s="30" t="str">
        <f>IFERROR(INDEX('G-6 Hedgerow Data'!$BJ$3:$BJ$15,MATCH(D128,'G-6 Hedgerow Data'!$B$3:$B$15,0)),"")</f>
        <v>Hedgecond1</v>
      </c>
    </row>
    <row r="129" spans="2:33" ht="28.5" x14ac:dyDescent="0.2">
      <c r="B129" s="110">
        <v>118</v>
      </c>
      <c r="C129" s="167">
        <v>144</v>
      </c>
      <c r="D129" s="159" t="s">
        <v>171</v>
      </c>
      <c r="E129" s="139">
        <v>5.225766482596466E-2</v>
      </c>
      <c r="F129" s="411" t="str">
        <f>IF(D129="","",VLOOKUP(D129,'G-6 Hedgerow Data'!$B$2:$AG$15,2,FALSE))</f>
        <v>Medium</v>
      </c>
      <c r="G129" s="363">
        <f>IF(D129="","",VLOOKUP(D129,'G-6 Hedgerow Data'!$B$2:$AG$15,3,FALSE))</f>
        <v>4</v>
      </c>
      <c r="H129" s="114" t="s">
        <v>68</v>
      </c>
      <c r="I129" s="363">
        <f>IFERROR(VLOOKUP(H129,'G-1 All Habitats'!$Z$2:$AA$9,2,FALSE),"")</f>
        <v>3</v>
      </c>
      <c r="J129" s="114" t="s">
        <v>1037</v>
      </c>
      <c r="K129" s="382" t="str">
        <f>IF(J129="","",IF(VLOOKUP(J129,'G-3 Multipliers'!$L$3:$N$6,2,FALSE)=0,"Spatial Data Missing ⚠",VLOOKUP(J129,'G-3 Multipliers'!$L$3:$N$6,2,FALSE)))</f>
        <v>Low Strategic Significance</v>
      </c>
      <c r="L129" s="368">
        <f>IF(J129="","",IF(VLOOKUP(J129,'G-3 Multipliers'!$L$3:$N$6,3,FALSE)=0,"Spatial Data Missing ⚠",VLOOKUP(J129,'G-3 Multipliers'!$L$3:$N$6,3,FALSE)))</f>
        <v>1</v>
      </c>
      <c r="M129" s="362">
        <f>IF(OR(D129="",H129=""),"",(INDEX('G-6 Hedgerow Data'!$E$3:$I$15,MATCH(D129,'G-6 Hedgerow Data'!$B$3:$B$15,0),MATCH(H129,'G-6 Hedgerow Data'!$E$2:$I$2,0))))</f>
        <v>12</v>
      </c>
      <c r="N129" s="159"/>
      <c r="O129" s="159"/>
      <c r="P129" s="370" t="str">
        <f t="shared" si="7"/>
        <v>Standard time to target condition applied</v>
      </c>
      <c r="Q129" s="383">
        <f t="shared" si="8"/>
        <v>12</v>
      </c>
      <c r="R129" s="384">
        <f t="shared" si="6"/>
        <v>0.65212036070000001</v>
      </c>
      <c r="S129" s="398" t="str">
        <f>IF(D129="","",VLOOKUP(D129,'G-6 Hedgerow Data'!$B$3:$AG$15,31,FALSE))</f>
        <v>Low</v>
      </c>
      <c r="T129" s="370" t="str">
        <f t="shared" si="9"/>
        <v>Standard difficulty applied</v>
      </c>
      <c r="U129" s="370" t="str">
        <f t="shared" si="10"/>
        <v>Low</v>
      </c>
      <c r="V129" s="386">
        <f>IF(D129="","",VLOOKUP(S129,'G-3 Multipliers'!$P$3:$Q$6,2,FALSE))</f>
        <v>1</v>
      </c>
      <c r="W129" s="390">
        <f t="shared" si="11"/>
        <v>0.40893944682777333</v>
      </c>
      <c r="X129" s="117"/>
      <c r="Y129" s="118"/>
      <c r="Z129" s="120"/>
      <c r="AG129" s="30" t="str">
        <f>IFERROR(INDEX('G-6 Hedgerow Data'!$BJ$3:$BJ$15,MATCH(D129,'G-6 Hedgerow Data'!$B$3:$B$15,0)),"")</f>
        <v>Hedgecond1</v>
      </c>
    </row>
    <row r="130" spans="2:33" ht="28.5" x14ac:dyDescent="0.2">
      <c r="B130" s="110">
        <v>119</v>
      </c>
      <c r="C130" s="167">
        <v>145</v>
      </c>
      <c r="D130" s="159" t="s">
        <v>171</v>
      </c>
      <c r="E130" s="139">
        <v>3.4767817662028751E-2</v>
      </c>
      <c r="F130" s="411" t="str">
        <f>IF(D130="","",VLOOKUP(D130,'G-6 Hedgerow Data'!$B$2:$AG$15,2,FALSE))</f>
        <v>Medium</v>
      </c>
      <c r="G130" s="363">
        <f>IF(D130="","",VLOOKUP(D130,'G-6 Hedgerow Data'!$B$2:$AG$15,3,FALSE))</f>
        <v>4</v>
      </c>
      <c r="H130" s="114" t="s">
        <v>68</v>
      </c>
      <c r="I130" s="363">
        <f>IFERROR(VLOOKUP(H130,'G-1 All Habitats'!$Z$2:$AA$9,2,FALSE),"")</f>
        <v>3</v>
      </c>
      <c r="J130" s="114" t="s">
        <v>1037</v>
      </c>
      <c r="K130" s="382" t="str">
        <f>IF(J130="","",IF(VLOOKUP(J130,'G-3 Multipliers'!$L$3:$N$6,2,FALSE)=0,"Spatial Data Missing ⚠",VLOOKUP(J130,'G-3 Multipliers'!$L$3:$N$6,2,FALSE)))</f>
        <v>Low Strategic Significance</v>
      </c>
      <c r="L130" s="368">
        <f>IF(J130="","",IF(VLOOKUP(J130,'G-3 Multipliers'!$L$3:$N$6,3,FALSE)=0,"Spatial Data Missing ⚠",VLOOKUP(J130,'G-3 Multipliers'!$L$3:$N$6,3,FALSE)))</f>
        <v>1</v>
      </c>
      <c r="M130" s="362">
        <f>IF(OR(D130="",H130=""),"",(INDEX('G-6 Hedgerow Data'!$E$3:$I$15,MATCH(D130,'G-6 Hedgerow Data'!$B$3:$B$15,0),MATCH(H130,'G-6 Hedgerow Data'!$E$2:$I$2,0))))</f>
        <v>12</v>
      </c>
      <c r="N130" s="159"/>
      <c r="O130" s="159"/>
      <c r="P130" s="370" t="str">
        <f t="shared" si="7"/>
        <v>Standard time to target condition applied</v>
      </c>
      <c r="Q130" s="383">
        <f t="shared" si="8"/>
        <v>12</v>
      </c>
      <c r="R130" s="384">
        <f t="shared" si="6"/>
        <v>0.65212036070000001</v>
      </c>
      <c r="S130" s="398" t="str">
        <f>IF(D130="","",VLOOKUP(D130,'G-6 Hedgerow Data'!$B$3:$AG$15,31,FALSE))</f>
        <v>Low</v>
      </c>
      <c r="T130" s="370" t="str">
        <f t="shared" si="9"/>
        <v>Standard difficulty applied</v>
      </c>
      <c r="U130" s="370" t="str">
        <f t="shared" si="10"/>
        <v>Low</v>
      </c>
      <c r="V130" s="386">
        <f>IF(D130="","",VLOOKUP(S130,'G-3 Multipliers'!$P$3:$Q$6,2,FALSE))</f>
        <v>1</v>
      </c>
      <c r="W130" s="390">
        <f t="shared" si="11"/>
        <v>0.27207362153416825</v>
      </c>
      <c r="X130" s="117"/>
      <c r="Y130" s="118"/>
      <c r="Z130" s="120"/>
      <c r="AG130" s="30" t="str">
        <f>IFERROR(INDEX('G-6 Hedgerow Data'!$BJ$3:$BJ$15,MATCH(D130,'G-6 Hedgerow Data'!$B$3:$B$15,0)),"")</f>
        <v>Hedgecond1</v>
      </c>
    </row>
    <row r="131" spans="2:33" ht="28.5" x14ac:dyDescent="0.2">
      <c r="B131" s="110">
        <v>120</v>
      </c>
      <c r="C131" s="167">
        <v>146</v>
      </c>
      <c r="D131" s="159" t="s">
        <v>171</v>
      </c>
      <c r="E131" s="139">
        <v>6.8388006730107545E-2</v>
      </c>
      <c r="F131" s="411" t="str">
        <f>IF(D131="","",VLOOKUP(D131,'G-6 Hedgerow Data'!$B$2:$AG$15,2,FALSE))</f>
        <v>Medium</v>
      </c>
      <c r="G131" s="363">
        <f>IF(D131="","",VLOOKUP(D131,'G-6 Hedgerow Data'!$B$2:$AG$15,3,FALSE))</f>
        <v>4</v>
      </c>
      <c r="H131" s="114" t="s">
        <v>68</v>
      </c>
      <c r="I131" s="363">
        <f>IFERROR(VLOOKUP(H131,'G-1 All Habitats'!$Z$2:$AA$9,2,FALSE),"")</f>
        <v>3</v>
      </c>
      <c r="J131" s="114" t="s">
        <v>1037</v>
      </c>
      <c r="K131" s="382" t="str">
        <f>IF(J131="","",IF(VLOOKUP(J131,'G-3 Multipliers'!$L$3:$N$6,2,FALSE)=0,"Spatial Data Missing ⚠",VLOOKUP(J131,'G-3 Multipliers'!$L$3:$N$6,2,FALSE)))</f>
        <v>Low Strategic Significance</v>
      </c>
      <c r="L131" s="368">
        <f>IF(J131="","",IF(VLOOKUP(J131,'G-3 Multipliers'!$L$3:$N$6,3,FALSE)=0,"Spatial Data Missing ⚠",VLOOKUP(J131,'G-3 Multipliers'!$L$3:$N$6,3,FALSE)))</f>
        <v>1</v>
      </c>
      <c r="M131" s="362">
        <f>IF(OR(D131="",H131=""),"",(INDEX('G-6 Hedgerow Data'!$E$3:$I$15,MATCH(D131,'G-6 Hedgerow Data'!$B$3:$B$15,0),MATCH(H131,'G-6 Hedgerow Data'!$E$2:$I$2,0))))</f>
        <v>12</v>
      </c>
      <c r="N131" s="159"/>
      <c r="O131" s="159"/>
      <c r="P131" s="370" t="str">
        <f t="shared" si="7"/>
        <v>Standard time to target condition applied</v>
      </c>
      <c r="Q131" s="383">
        <f t="shared" si="8"/>
        <v>12</v>
      </c>
      <c r="R131" s="384">
        <f t="shared" si="6"/>
        <v>0.65212036070000001</v>
      </c>
      <c r="S131" s="398" t="str">
        <f>IF(D131="","",VLOOKUP(D131,'G-6 Hedgerow Data'!$B$3:$AG$15,31,FALSE))</f>
        <v>Low</v>
      </c>
      <c r="T131" s="370" t="str">
        <f t="shared" si="9"/>
        <v>Standard difficulty applied</v>
      </c>
      <c r="U131" s="370" t="str">
        <f t="shared" si="10"/>
        <v>Low</v>
      </c>
      <c r="V131" s="386">
        <f>IF(D131="","",VLOOKUP(S131,'G-3 Multipliers'!$P$3:$Q$6,2,FALSE))</f>
        <v>1</v>
      </c>
      <c r="W131" s="390">
        <f t="shared" si="11"/>
        <v>0.53516653939670111</v>
      </c>
      <c r="X131" s="117"/>
      <c r="Y131" s="118"/>
      <c r="Z131" s="120"/>
      <c r="AG131" s="30" t="str">
        <f>IFERROR(INDEX('G-6 Hedgerow Data'!$BJ$3:$BJ$15,MATCH(D131,'G-6 Hedgerow Data'!$B$3:$B$15,0)),"")</f>
        <v>Hedgecond1</v>
      </c>
    </row>
    <row r="132" spans="2:33" ht="28.5" x14ac:dyDescent="0.2">
      <c r="B132" s="110">
        <v>121</v>
      </c>
      <c r="C132" s="167">
        <v>175</v>
      </c>
      <c r="D132" s="159" t="s">
        <v>171</v>
      </c>
      <c r="E132" s="139">
        <v>0.10023187290437161</v>
      </c>
      <c r="F132" s="411" t="str">
        <f>IF(D132="","",VLOOKUP(D132,'G-6 Hedgerow Data'!$B$2:$AG$15,2,FALSE))</f>
        <v>Medium</v>
      </c>
      <c r="G132" s="363">
        <f>IF(D132="","",VLOOKUP(D132,'G-6 Hedgerow Data'!$B$2:$AG$15,3,FALSE))</f>
        <v>4</v>
      </c>
      <c r="H132" s="114" t="s">
        <v>68</v>
      </c>
      <c r="I132" s="363">
        <f>IFERROR(VLOOKUP(H132,'G-1 All Habitats'!$Z$2:$AA$9,2,FALSE),"")</f>
        <v>3</v>
      </c>
      <c r="J132" s="114" t="s">
        <v>1037</v>
      </c>
      <c r="K132" s="382" t="str">
        <f>IF(J132="","",IF(VLOOKUP(J132,'G-3 Multipliers'!$L$3:$N$6,2,FALSE)=0,"Spatial Data Missing ⚠",VLOOKUP(J132,'G-3 Multipliers'!$L$3:$N$6,2,FALSE)))</f>
        <v>Low Strategic Significance</v>
      </c>
      <c r="L132" s="368">
        <f>IF(J132="","",IF(VLOOKUP(J132,'G-3 Multipliers'!$L$3:$N$6,3,FALSE)=0,"Spatial Data Missing ⚠",VLOOKUP(J132,'G-3 Multipliers'!$L$3:$N$6,3,FALSE)))</f>
        <v>1</v>
      </c>
      <c r="M132" s="362">
        <f>IF(OR(D132="",H132=""),"",(INDEX('G-6 Hedgerow Data'!$E$3:$I$15,MATCH(D132,'G-6 Hedgerow Data'!$B$3:$B$15,0),MATCH(H132,'G-6 Hedgerow Data'!$E$2:$I$2,0))))</f>
        <v>12</v>
      </c>
      <c r="N132" s="159"/>
      <c r="O132" s="159"/>
      <c r="P132" s="370" t="str">
        <f t="shared" si="7"/>
        <v>Standard time to target condition applied</v>
      </c>
      <c r="Q132" s="383">
        <f t="shared" si="8"/>
        <v>12</v>
      </c>
      <c r="R132" s="384">
        <f t="shared" si="6"/>
        <v>0.65212036070000001</v>
      </c>
      <c r="S132" s="398" t="str">
        <f>IF(D132="","",VLOOKUP(D132,'G-6 Hedgerow Data'!$B$3:$AG$15,31,FALSE))</f>
        <v>Low</v>
      </c>
      <c r="T132" s="370" t="str">
        <f t="shared" si="9"/>
        <v>Standard difficulty applied</v>
      </c>
      <c r="U132" s="370" t="str">
        <f t="shared" si="10"/>
        <v>Low</v>
      </c>
      <c r="V132" s="386">
        <f>IF(D132="","",VLOOKUP(S132,'G-3 Multipliers'!$P$3:$Q$6,2,FALSE))</f>
        <v>1</v>
      </c>
      <c r="W132" s="390">
        <f t="shared" si="11"/>
        <v>0.78435894134442441</v>
      </c>
      <c r="X132" s="117"/>
      <c r="Y132" s="118"/>
      <c r="Z132" s="120"/>
      <c r="AG132" s="30" t="str">
        <f>IFERROR(INDEX('G-6 Hedgerow Data'!$BJ$3:$BJ$15,MATCH(D132,'G-6 Hedgerow Data'!$B$3:$B$15,0)),"")</f>
        <v>Hedgecond1</v>
      </c>
    </row>
    <row r="133" spans="2:33" ht="28.5" x14ac:dyDescent="0.2">
      <c r="B133" s="110">
        <v>122</v>
      </c>
      <c r="C133" s="167">
        <v>186</v>
      </c>
      <c r="D133" s="159" t="s">
        <v>171</v>
      </c>
      <c r="E133" s="139">
        <v>0.30188661844859832</v>
      </c>
      <c r="F133" s="411" t="str">
        <f>IF(D133="","",VLOOKUP(D133,'G-6 Hedgerow Data'!$B$2:$AG$15,2,FALSE))</f>
        <v>Medium</v>
      </c>
      <c r="G133" s="363">
        <f>IF(D133="","",VLOOKUP(D133,'G-6 Hedgerow Data'!$B$2:$AG$15,3,FALSE))</f>
        <v>4</v>
      </c>
      <c r="H133" s="114" t="s">
        <v>68</v>
      </c>
      <c r="I133" s="363">
        <f>IFERROR(VLOOKUP(H133,'G-1 All Habitats'!$Z$2:$AA$9,2,FALSE),"")</f>
        <v>3</v>
      </c>
      <c r="J133" s="114" t="s">
        <v>1037</v>
      </c>
      <c r="K133" s="382" t="str">
        <f>IF(J133="","",IF(VLOOKUP(J133,'G-3 Multipliers'!$L$3:$N$6,2,FALSE)=0,"Spatial Data Missing ⚠",VLOOKUP(J133,'G-3 Multipliers'!$L$3:$N$6,2,FALSE)))</f>
        <v>Low Strategic Significance</v>
      </c>
      <c r="L133" s="368">
        <f>IF(J133="","",IF(VLOOKUP(J133,'G-3 Multipliers'!$L$3:$N$6,3,FALSE)=0,"Spatial Data Missing ⚠",VLOOKUP(J133,'G-3 Multipliers'!$L$3:$N$6,3,FALSE)))</f>
        <v>1</v>
      </c>
      <c r="M133" s="362">
        <f>IF(OR(D133="",H133=""),"",(INDEX('G-6 Hedgerow Data'!$E$3:$I$15,MATCH(D133,'G-6 Hedgerow Data'!$B$3:$B$15,0),MATCH(H133,'G-6 Hedgerow Data'!$E$2:$I$2,0))))</f>
        <v>12</v>
      </c>
      <c r="N133" s="159"/>
      <c r="O133" s="159"/>
      <c r="P133" s="370" t="str">
        <f t="shared" si="7"/>
        <v>Standard time to target condition applied</v>
      </c>
      <c r="Q133" s="383">
        <f t="shared" si="8"/>
        <v>12</v>
      </c>
      <c r="R133" s="384">
        <f t="shared" si="6"/>
        <v>0.65212036070000001</v>
      </c>
      <c r="S133" s="398" t="str">
        <f>IF(D133="","",VLOOKUP(D133,'G-6 Hedgerow Data'!$B$3:$AG$15,31,FALSE))</f>
        <v>Low</v>
      </c>
      <c r="T133" s="370" t="str">
        <f t="shared" si="9"/>
        <v>Standard difficulty applied</v>
      </c>
      <c r="U133" s="370" t="str">
        <f t="shared" si="10"/>
        <v>Low</v>
      </c>
      <c r="V133" s="386">
        <f>IF(D133="","",VLOOKUP(S133,'G-3 Multipliers'!$P$3:$Q$6,2,FALSE))</f>
        <v>1</v>
      </c>
      <c r="W133" s="390">
        <f t="shared" si="11"/>
        <v>2.3623969261584388</v>
      </c>
      <c r="X133" s="117"/>
      <c r="Y133" s="118"/>
      <c r="Z133" s="120"/>
      <c r="AG133" s="30" t="str">
        <f>IFERROR(INDEX('G-6 Hedgerow Data'!$BJ$3:$BJ$15,MATCH(D133,'G-6 Hedgerow Data'!$B$3:$B$15,0)),"")</f>
        <v>Hedgecond1</v>
      </c>
    </row>
    <row r="134" spans="2:33" ht="28.5" x14ac:dyDescent="0.2">
      <c r="B134" s="110">
        <v>123</v>
      </c>
      <c r="C134" s="167">
        <v>201</v>
      </c>
      <c r="D134" s="159" t="s">
        <v>171</v>
      </c>
      <c r="E134" s="139">
        <v>0.33777581241220428</v>
      </c>
      <c r="F134" s="411" t="str">
        <f>IF(D134="","",VLOOKUP(D134,'G-6 Hedgerow Data'!$B$2:$AG$15,2,FALSE))</f>
        <v>Medium</v>
      </c>
      <c r="G134" s="363">
        <f>IF(D134="","",VLOOKUP(D134,'G-6 Hedgerow Data'!$B$2:$AG$15,3,FALSE))</f>
        <v>4</v>
      </c>
      <c r="H134" s="114" t="s">
        <v>68</v>
      </c>
      <c r="I134" s="363">
        <f>IFERROR(VLOOKUP(H134,'G-1 All Habitats'!$Z$2:$AA$9,2,FALSE),"")</f>
        <v>3</v>
      </c>
      <c r="J134" s="114" t="s">
        <v>1037</v>
      </c>
      <c r="K134" s="382" t="str">
        <f>IF(J134="","",IF(VLOOKUP(J134,'G-3 Multipliers'!$L$3:$N$6,2,FALSE)=0,"Spatial Data Missing ⚠",VLOOKUP(J134,'G-3 Multipliers'!$L$3:$N$6,2,FALSE)))</f>
        <v>Low Strategic Significance</v>
      </c>
      <c r="L134" s="368">
        <f>IF(J134="","",IF(VLOOKUP(J134,'G-3 Multipliers'!$L$3:$N$6,3,FALSE)=0,"Spatial Data Missing ⚠",VLOOKUP(J134,'G-3 Multipliers'!$L$3:$N$6,3,FALSE)))</f>
        <v>1</v>
      </c>
      <c r="M134" s="362">
        <f>IF(OR(D134="",H134=""),"",(INDEX('G-6 Hedgerow Data'!$E$3:$I$15,MATCH(D134,'G-6 Hedgerow Data'!$B$3:$B$15,0),MATCH(H134,'G-6 Hedgerow Data'!$E$2:$I$2,0))))</f>
        <v>12</v>
      </c>
      <c r="N134" s="159"/>
      <c r="O134" s="159"/>
      <c r="P134" s="370" t="str">
        <f t="shared" si="7"/>
        <v>Standard time to target condition applied</v>
      </c>
      <c r="Q134" s="383">
        <f t="shared" si="8"/>
        <v>12</v>
      </c>
      <c r="R134" s="384">
        <f t="shared" si="6"/>
        <v>0.65212036070000001</v>
      </c>
      <c r="S134" s="398" t="str">
        <f>IF(D134="","",VLOOKUP(D134,'G-6 Hedgerow Data'!$B$3:$AG$15,31,FALSE))</f>
        <v>Low</v>
      </c>
      <c r="T134" s="370" t="str">
        <f t="shared" si="9"/>
        <v>Standard difficulty applied</v>
      </c>
      <c r="U134" s="370" t="str">
        <f t="shared" si="10"/>
        <v>Low</v>
      </c>
      <c r="V134" s="386">
        <f>IF(D134="","",VLOOKUP(S134,'G-3 Multipliers'!$P$3:$Q$6,2,FALSE))</f>
        <v>1</v>
      </c>
      <c r="W134" s="390">
        <f t="shared" si="11"/>
        <v>2.6432458155117864</v>
      </c>
      <c r="X134" s="117"/>
      <c r="Y134" s="118"/>
      <c r="Z134" s="120"/>
      <c r="AG134" s="30" t="str">
        <f>IFERROR(INDEX('G-6 Hedgerow Data'!$BJ$3:$BJ$15,MATCH(D134,'G-6 Hedgerow Data'!$B$3:$B$15,0)),"")</f>
        <v>Hedgecond1</v>
      </c>
    </row>
    <row r="135" spans="2:33" ht="28.5" x14ac:dyDescent="0.2">
      <c r="B135" s="110">
        <v>124</v>
      </c>
      <c r="C135" s="167">
        <v>202</v>
      </c>
      <c r="D135" s="159" t="s">
        <v>171</v>
      </c>
      <c r="E135" s="139">
        <v>0.30604405759977432</v>
      </c>
      <c r="F135" s="411" t="str">
        <f>IF(D135="","",VLOOKUP(D135,'G-6 Hedgerow Data'!$B$2:$AG$15,2,FALSE))</f>
        <v>Medium</v>
      </c>
      <c r="G135" s="363">
        <f>IF(D135="","",VLOOKUP(D135,'G-6 Hedgerow Data'!$B$2:$AG$15,3,FALSE))</f>
        <v>4</v>
      </c>
      <c r="H135" s="114" t="s">
        <v>68</v>
      </c>
      <c r="I135" s="363">
        <f>IFERROR(VLOOKUP(H135,'G-1 All Habitats'!$Z$2:$AA$9,2,FALSE),"")</f>
        <v>3</v>
      </c>
      <c r="J135" s="114" t="s">
        <v>1037</v>
      </c>
      <c r="K135" s="382" t="str">
        <f>IF(J135="","",IF(VLOOKUP(J135,'G-3 Multipliers'!$L$3:$N$6,2,FALSE)=0,"Spatial Data Missing ⚠",VLOOKUP(J135,'G-3 Multipliers'!$L$3:$N$6,2,FALSE)))</f>
        <v>Low Strategic Significance</v>
      </c>
      <c r="L135" s="368">
        <f>IF(J135="","",IF(VLOOKUP(J135,'G-3 Multipliers'!$L$3:$N$6,3,FALSE)=0,"Spatial Data Missing ⚠",VLOOKUP(J135,'G-3 Multipliers'!$L$3:$N$6,3,FALSE)))</f>
        <v>1</v>
      </c>
      <c r="M135" s="362">
        <f>IF(OR(D135="",H135=""),"",(INDEX('G-6 Hedgerow Data'!$E$3:$I$15,MATCH(D135,'G-6 Hedgerow Data'!$B$3:$B$15,0),MATCH(H135,'G-6 Hedgerow Data'!$E$2:$I$2,0))))</f>
        <v>12</v>
      </c>
      <c r="N135" s="159"/>
      <c r="O135" s="159"/>
      <c r="P135" s="370" t="str">
        <f t="shared" si="7"/>
        <v>Standard time to target condition applied</v>
      </c>
      <c r="Q135" s="383">
        <f t="shared" si="8"/>
        <v>12</v>
      </c>
      <c r="R135" s="384">
        <f t="shared" si="6"/>
        <v>0.65212036070000001</v>
      </c>
      <c r="S135" s="398" t="str">
        <f>IF(D135="","",VLOOKUP(D135,'G-6 Hedgerow Data'!$B$3:$AG$15,31,FALSE))</f>
        <v>Low</v>
      </c>
      <c r="T135" s="370" t="str">
        <f t="shared" si="9"/>
        <v>Standard difficulty applied</v>
      </c>
      <c r="U135" s="370" t="str">
        <f t="shared" si="10"/>
        <v>Low</v>
      </c>
      <c r="V135" s="386">
        <f>IF(D135="","",VLOOKUP(S135,'G-3 Multipliers'!$P$3:$Q$6,2,FALSE))</f>
        <v>1</v>
      </c>
      <c r="W135" s="390">
        <f t="shared" si="11"/>
        <v>2.3949307347846771</v>
      </c>
      <c r="X135" s="117"/>
      <c r="Y135" s="118"/>
      <c r="Z135" s="120"/>
      <c r="AG135" s="30" t="str">
        <f>IFERROR(INDEX('G-6 Hedgerow Data'!$BJ$3:$BJ$15,MATCH(D135,'G-6 Hedgerow Data'!$B$3:$B$15,0)),"")</f>
        <v>Hedgecond1</v>
      </c>
    </row>
    <row r="136" spans="2:33" ht="28.5" x14ac:dyDescent="0.2">
      <c r="B136" s="110">
        <v>125</v>
      </c>
      <c r="C136" s="167">
        <v>203</v>
      </c>
      <c r="D136" s="159" t="s">
        <v>171</v>
      </c>
      <c r="E136" s="139">
        <v>0.44988344340382391</v>
      </c>
      <c r="F136" s="411" t="str">
        <f>IF(D136="","",VLOOKUP(D136,'G-6 Hedgerow Data'!$B$2:$AG$15,2,FALSE))</f>
        <v>Medium</v>
      </c>
      <c r="G136" s="363">
        <f>IF(D136="","",VLOOKUP(D136,'G-6 Hedgerow Data'!$B$2:$AG$15,3,FALSE))</f>
        <v>4</v>
      </c>
      <c r="H136" s="114" t="s">
        <v>68</v>
      </c>
      <c r="I136" s="363">
        <f>IFERROR(VLOOKUP(H136,'G-1 All Habitats'!$Z$2:$AA$9,2,FALSE),"")</f>
        <v>3</v>
      </c>
      <c r="J136" s="114" t="s">
        <v>1037</v>
      </c>
      <c r="K136" s="382" t="str">
        <f>IF(J136="","",IF(VLOOKUP(J136,'G-3 Multipliers'!$L$3:$N$6,2,FALSE)=0,"Spatial Data Missing ⚠",VLOOKUP(J136,'G-3 Multipliers'!$L$3:$N$6,2,FALSE)))</f>
        <v>Low Strategic Significance</v>
      </c>
      <c r="L136" s="368">
        <f>IF(J136="","",IF(VLOOKUP(J136,'G-3 Multipliers'!$L$3:$N$6,3,FALSE)=0,"Spatial Data Missing ⚠",VLOOKUP(J136,'G-3 Multipliers'!$L$3:$N$6,3,FALSE)))</f>
        <v>1</v>
      </c>
      <c r="M136" s="362">
        <f>IF(OR(D136="",H136=""),"",(INDEX('G-6 Hedgerow Data'!$E$3:$I$15,MATCH(D136,'G-6 Hedgerow Data'!$B$3:$B$15,0),MATCH(H136,'G-6 Hedgerow Data'!$E$2:$I$2,0))))</f>
        <v>12</v>
      </c>
      <c r="N136" s="159"/>
      <c r="O136" s="159"/>
      <c r="P136" s="370" t="str">
        <f t="shared" si="7"/>
        <v>Standard time to target condition applied</v>
      </c>
      <c r="Q136" s="383">
        <f t="shared" si="8"/>
        <v>12</v>
      </c>
      <c r="R136" s="384">
        <f t="shared" si="6"/>
        <v>0.65212036070000001</v>
      </c>
      <c r="S136" s="398" t="str">
        <f>IF(D136="","",VLOOKUP(D136,'G-6 Hedgerow Data'!$B$3:$AG$15,31,FALSE))</f>
        <v>Low</v>
      </c>
      <c r="T136" s="370" t="str">
        <f t="shared" si="9"/>
        <v>Standard difficulty applied</v>
      </c>
      <c r="U136" s="370" t="str">
        <f t="shared" si="10"/>
        <v>Low</v>
      </c>
      <c r="V136" s="386">
        <f>IF(D136="","",VLOOKUP(S136,'G-3 Multipliers'!$P$3:$Q$6,2,FALSE))</f>
        <v>1</v>
      </c>
      <c r="W136" s="390">
        <f t="shared" si="11"/>
        <v>3.5205378406255163</v>
      </c>
      <c r="X136" s="117"/>
      <c r="Y136" s="118"/>
      <c r="Z136" s="120"/>
      <c r="AG136" s="30" t="str">
        <f>IFERROR(INDEX('G-6 Hedgerow Data'!$BJ$3:$BJ$15,MATCH(D136,'G-6 Hedgerow Data'!$B$3:$B$15,0)),"")</f>
        <v>Hedgecond1</v>
      </c>
    </row>
    <row r="137" spans="2:33" ht="28.5" x14ac:dyDescent="0.2">
      <c r="B137" s="110">
        <v>126</v>
      </c>
      <c r="C137" s="167">
        <v>204</v>
      </c>
      <c r="D137" s="159" t="s">
        <v>171</v>
      </c>
      <c r="E137" s="139">
        <v>0.28670778050011592</v>
      </c>
      <c r="F137" s="411" t="str">
        <f>IF(D137="","",VLOOKUP(D137,'G-6 Hedgerow Data'!$B$2:$AG$15,2,FALSE))</f>
        <v>Medium</v>
      </c>
      <c r="G137" s="363">
        <f>IF(D137="","",VLOOKUP(D137,'G-6 Hedgerow Data'!$B$2:$AG$15,3,FALSE))</f>
        <v>4</v>
      </c>
      <c r="H137" s="114" t="s">
        <v>68</v>
      </c>
      <c r="I137" s="363">
        <f>IFERROR(VLOOKUP(H137,'G-1 All Habitats'!$Z$2:$AA$9,2,FALSE),"")</f>
        <v>3</v>
      </c>
      <c r="J137" s="114" t="s">
        <v>1037</v>
      </c>
      <c r="K137" s="382" t="str">
        <f>IF(J137="","",IF(VLOOKUP(J137,'G-3 Multipliers'!$L$3:$N$6,2,FALSE)=0,"Spatial Data Missing ⚠",VLOOKUP(J137,'G-3 Multipliers'!$L$3:$N$6,2,FALSE)))</f>
        <v>Low Strategic Significance</v>
      </c>
      <c r="L137" s="368">
        <f>IF(J137="","",IF(VLOOKUP(J137,'G-3 Multipliers'!$L$3:$N$6,3,FALSE)=0,"Spatial Data Missing ⚠",VLOOKUP(J137,'G-3 Multipliers'!$L$3:$N$6,3,FALSE)))</f>
        <v>1</v>
      </c>
      <c r="M137" s="362">
        <f>IF(OR(D137="",H137=""),"",(INDEX('G-6 Hedgerow Data'!$E$3:$I$15,MATCH(D137,'G-6 Hedgerow Data'!$B$3:$B$15,0),MATCH(H137,'G-6 Hedgerow Data'!$E$2:$I$2,0))))</f>
        <v>12</v>
      </c>
      <c r="N137" s="159"/>
      <c r="O137" s="159"/>
      <c r="P137" s="370" t="str">
        <f t="shared" si="7"/>
        <v>Standard time to target condition applied</v>
      </c>
      <c r="Q137" s="383">
        <f t="shared" si="8"/>
        <v>12</v>
      </c>
      <c r="R137" s="384">
        <f t="shared" si="6"/>
        <v>0.65212036070000001</v>
      </c>
      <c r="S137" s="398" t="str">
        <f>IF(D137="","",VLOOKUP(D137,'G-6 Hedgerow Data'!$B$3:$AG$15,31,FALSE))</f>
        <v>Low</v>
      </c>
      <c r="T137" s="370" t="str">
        <f t="shared" si="9"/>
        <v>Standard difficulty applied</v>
      </c>
      <c r="U137" s="370" t="str">
        <f t="shared" si="10"/>
        <v>Low</v>
      </c>
      <c r="V137" s="386">
        <f>IF(D137="","",VLOOKUP(S137,'G-3 Multipliers'!$P$3:$Q$6,2,FALSE))</f>
        <v>1</v>
      </c>
      <c r="W137" s="390">
        <f t="shared" si="11"/>
        <v>2.2436157748227843</v>
      </c>
      <c r="X137" s="117"/>
      <c r="Y137" s="118"/>
      <c r="Z137" s="120"/>
      <c r="AG137" s="30" t="str">
        <f>IFERROR(INDEX('G-6 Hedgerow Data'!$BJ$3:$BJ$15,MATCH(D137,'G-6 Hedgerow Data'!$B$3:$B$15,0)),"")</f>
        <v>Hedgecond1</v>
      </c>
    </row>
    <row r="138" spans="2:33" ht="28.5" x14ac:dyDescent="0.2">
      <c r="B138" s="110">
        <v>127</v>
      </c>
      <c r="C138" s="167">
        <v>213</v>
      </c>
      <c r="D138" s="159" t="s">
        <v>171</v>
      </c>
      <c r="E138" s="139">
        <v>0.23233211505504348</v>
      </c>
      <c r="F138" s="411" t="str">
        <f>IF(D138="","",VLOOKUP(D138,'G-6 Hedgerow Data'!$B$2:$AG$15,2,FALSE))</f>
        <v>Medium</v>
      </c>
      <c r="G138" s="363">
        <f>IF(D138="","",VLOOKUP(D138,'G-6 Hedgerow Data'!$B$2:$AG$15,3,FALSE))</f>
        <v>4</v>
      </c>
      <c r="H138" s="114" t="s">
        <v>68</v>
      </c>
      <c r="I138" s="363">
        <f>IFERROR(VLOOKUP(H138,'G-1 All Habitats'!$Z$2:$AA$9,2,FALSE),"")</f>
        <v>3</v>
      </c>
      <c r="J138" s="114" t="s">
        <v>1037</v>
      </c>
      <c r="K138" s="382" t="str">
        <f>IF(J138="","",IF(VLOOKUP(J138,'G-3 Multipliers'!$L$3:$N$6,2,FALSE)=0,"Spatial Data Missing ⚠",VLOOKUP(J138,'G-3 Multipliers'!$L$3:$N$6,2,FALSE)))</f>
        <v>Low Strategic Significance</v>
      </c>
      <c r="L138" s="368">
        <f>IF(J138="","",IF(VLOOKUP(J138,'G-3 Multipliers'!$L$3:$N$6,3,FALSE)=0,"Spatial Data Missing ⚠",VLOOKUP(J138,'G-3 Multipliers'!$L$3:$N$6,3,FALSE)))</f>
        <v>1</v>
      </c>
      <c r="M138" s="362">
        <f>IF(OR(D138="",H138=""),"",(INDEX('G-6 Hedgerow Data'!$E$3:$I$15,MATCH(D138,'G-6 Hedgerow Data'!$B$3:$B$15,0),MATCH(H138,'G-6 Hedgerow Data'!$E$2:$I$2,0))))</f>
        <v>12</v>
      </c>
      <c r="N138" s="159"/>
      <c r="O138" s="159"/>
      <c r="P138" s="370" t="str">
        <f t="shared" si="7"/>
        <v>Standard time to target condition applied</v>
      </c>
      <c r="Q138" s="383">
        <f t="shared" si="8"/>
        <v>12</v>
      </c>
      <c r="R138" s="384">
        <f t="shared" si="6"/>
        <v>0.65212036070000001</v>
      </c>
      <c r="S138" s="398" t="str">
        <f>IF(D138="","",VLOOKUP(D138,'G-6 Hedgerow Data'!$B$3:$AG$15,31,FALSE))</f>
        <v>Low</v>
      </c>
      <c r="T138" s="370" t="str">
        <f t="shared" si="9"/>
        <v>Standard difficulty applied</v>
      </c>
      <c r="U138" s="370" t="str">
        <f t="shared" si="10"/>
        <v>Low</v>
      </c>
      <c r="V138" s="386">
        <f>IF(D138="","",VLOOKUP(S138,'G-3 Multipliers'!$P$3:$Q$6,2,FALSE))</f>
        <v>1</v>
      </c>
      <c r="W138" s="390">
        <f t="shared" si="11"/>
        <v>1.8181020320626662</v>
      </c>
      <c r="X138" s="117"/>
      <c r="Y138" s="118"/>
      <c r="Z138" s="120"/>
      <c r="AG138" s="30" t="str">
        <f>IFERROR(INDEX('G-6 Hedgerow Data'!$BJ$3:$BJ$15,MATCH(D138,'G-6 Hedgerow Data'!$B$3:$B$15,0)),"")</f>
        <v>Hedgecond1</v>
      </c>
    </row>
    <row r="139" spans="2:33" ht="28.5" x14ac:dyDescent="0.2">
      <c r="B139" s="110">
        <v>128</v>
      </c>
      <c r="C139" s="167">
        <v>228</v>
      </c>
      <c r="D139" s="159" t="s">
        <v>171</v>
      </c>
      <c r="E139" s="139">
        <v>0.1020568073230637</v>
      </c>
      <c r="F139" s="411" t="str">
        <f>IF(D139="","",VLOOKUP(D139,'G-6 Hedgerow Data'!$B$2:$AG$15,2,FALSE))</f>
        <v>Medium</v>
      </c>
      <c r="G139" s="363">
        <f>IF(D139="","",VLOOKUP(D139,'G-6 Hedgerow Data'!$B$2:$AG$15,3,FALSE))</f>
        <v>4</v>
      </c>
      <c r="H139" s="114" t="s">
        <v>68</v>
      </c>
      <c r="I139" s="363">
        <f>IFERROR(VLOOKUP(H139,'G-1 All Habitats'!$Z$2:$AA$9,2,FALSE),"")</f>
        <v>3</v>
      </c>
      <c r="J139" s="114" t="s">
        <v>1037</v>
      </c>
      <c r="K139" s="382" t="str">
        <f>IF(J139="","",IF(VLOOKUP(J139,'G-3 Multipliers'!$L$3:$N$6,2,FALSE)=0,"Spatial Data Missing ⚠",VLOOKUP(J139,'G-3 Multipliers'!$L$3:$N$6,2,FALSE)))</f>
        <v>Low Strategic Significance</v>
      </c>
      <c r="L139" s="368">
        <f>IF(J139="","",IF(VLOOKUP(J139,'G-3 Multipliers'!$L$3:$N$6,3,FALSE)=0,"Spatial Data Missing ⚠",VLOOKUP(J139,'G-3 Multipliers'!$L$3:$N$6,3,FALSE)))</f>
        <v>1</v>
      </c>
      <c r="M139" s="362">
        <f>IF(OR(D139="",H139=""),"",(INDEX('G-6 Hedgerow Data'!$E$3:$I$15,MATCH(D139,'G-6 Hedgerow Data'!$B$3:$B$15,0),MATCH(H139,'G-6 Hedgerow Data'!$E$2:$I$2,0))))</f>
        <v>12</v>
      </c>
      <c r="N139" s="159"/>
      <c r="O139" s="159"/>
      <c r="P139" s="370" t="str">
        <f t="shared" si="7"/>
        <v>Standard time to target condition applied</v>
      </c>
      <c r="Q139" s="383">
        <f t="shared" si="8"/>
        <v>12</v>
      </c>
      <c r="R139" s="384">
        <f t="shared" si="6"/>
        <v>0.65212036070000001</v>
      </c>
      <c r="S139" s="398" t="str">
        <f>IF(D139="","",VLOOKUP(D139,'G-6 Hedgerow Data'!$B$3:$AG$15,31,FALSE))</f>
        <v>Low</v>
      </c>
      <c r="T139" s="370" t="str">
        <f t="shared" si="9"/>
        <v>Standard difficulty applied</v>
      </c>
      <c r="U139" s="370" t="str">
        <f t="shared" si="10"/>
        <v>Low</v>
      </c>
      <c r="V139" s="386">
        <f>IF(D139="","",VLOOKUP(S139,'G-3 Multipliers'!$P$3:$Q$6,2,FALSE))</f>
        <v>1</v>
      </c>
      <c r="W139" s="390">
        <f t="shared" si="11"/>
        <v>0.79863986404088039</v>
      </c>
      <c r="X139" s="117"/>
      <c r="Y139" s="118"/>
      <c r="Z139" s="120"/>
      <c r="AG139" s="30" t="str">
        <f>IFERROR(INDEX('G-6 Hedgerow Data'!$BJ$3:$BJ$15,MATCH(D139,'G-6 Hedgerow Data'!$B$3:$B$15,0)),"")</f>
        <v>Hedgecond1</v>
      </c>
    </row>
    <row r="140" spans="2:33" ht="28.5" x14ac:dyDescent="0.2">
      <c r="B140" s="110">
        <v>129</v>
      </c>
      <c r="C140" s="167">
        <v>233</v>
      </c>
      <c r="D140" s="159" t="s">
        <v>171</v>
      </c>
      <c r="E140" s="139">
        <v>9.5693381173361181E-2</v>
      </c>
      <c r="F140" s="411" t="str">
        <f>IF(D140="","",VLOOKUP(D140,'G-6 Hedgerow Data'!$B$2:$AG$15,2,FALSE))</f>
        <v>Medium</v>
      </c>
      <c r="G140" s="363">
        <f>IF(D140="","",VLOOKUP(D140,'G-6 Hedgerow Data'!$B$2:$AG$15,3,FALSE))</f>
        <v>4</v>
      </c>
      <c r="H140" s="114" t="s">
        <v>68</v>
      </c>
      <c r="I140" s="363">
        <f>IFERROR(VLOOKUP(H140,'G-1 All Habitats'!$Z$2:$AA$9,2,FALSE),"")</f>
        <v>3</v>
      </c>
      <c r="J140" s="114" t="s">
        <v>1037</v>
      </c>
      <c r="K140" s="382" t="str">
        <f>IF(J140="","",IF(VLOOKUP(J140,'G-3 Multipliers'!$L$3:$N$6,2,FALSE)=0,"Spatial Data Missing ⚠",VLOOKUP(J140,'G-3 Multipliers'!$L$3:$N$6,2,FALSE)))</f>
        <v>Low Strategic Significance</v>
      </c>
      <c r="L140" s="368">
        <f>IF(J140="","",IF(VLOOKUP(J140,'G-3 Multipliers'!$L$3:$N$6,3,FALSE)=0,"Spatial Data Missing ⚠",VLOOKUP(J140,'G-3 Multipliers'!$L$3:$N$6,3,FALSE)))</f>
        <v>1</v>
      </c>
      <c r="M140" s="362">
        <f>IF(OR(D140="",H140=""),"",(INDEX('G-6 Hedgerow Data'!$E$3:$I$15,MATCH(D140,'G-6 Hedgerow Data'!$B$3:$B$15,0),MATCH(H140,'G-6 Hedgerow Data'!$E$2:$I$2,0))))</f>
        <v>12</v>
      </c>
      <c r="N140" s="159"/>
      <c r="O140" s="159"/>
      <c r="P140" s="370" t="str">
        <f t="shared" si="7"/>
        <v>Standard time to target condition applied</v>
      </c>
      <c r="Q140" s="383">
        <f t="shared" si="8"/>
        <v>12</v>
      </c>
      <c r="R140" s="384">
        <f t="shared" ref="R140:R203" si="12">IF(M140="","",IF(Q140="Check Data ⚠","Check Data ⚠",VLOOKUP(Q140,TemporalMultipliers,3,FALSE)))</f>
        <v>0.65212036070000001</v>
      </c>
      <c r="S140" s="398" t="str">
        <f>IF(D140="","",VLOOKUP(D140,'G-6 Hedgerow Data'!$B$3:$AG$15,31,FALSE))</f>
        <v>Low</v>
      </c>
      <c r="T140" s="370" t="str">
        <f t="shared" si="9"/>
        <v>Standard difficulty applied</v>
      </c>
      <c r="U140" s="370" t="str">
        <f t="shared" si="10"/>
        <v>Low</v>
      </c>
      <c r="V140" s="386">
        <f>IF(D140="","",VLOOKUP(S140,'G-3 Multipliers'!$P$3:$Q$6,2,FALSE))</f>
        <v>1</v>
      </c>
      <c r="W140" s="390">
        <f t="shared" si="11"/>
        <v>0.74884322696849859</v>
      </c>
      <c r="X140" s="117"/>
      <c r="Y140" s="118"/>
      <c r="Z140" s="120"/>
      <c r="AG140" s="30" t="str">
        <f>IFERROR(INDEX('G-6 Hedgerow Data'!$BJ$3:$BJ$15,MATCH(D140,'G-6 Hedgerow Data'!$B$3:$B$15,0)),"")</f>
        <v>Hedgecond1</v>
      </c>
    </row>
    <row r="141" spans="2:33" ht="28.5" x14ac:dyDescent="0.2">
      <c r="B141" s="110">
        <v>130</v>
      </c>
      <c r="C141" s="167">
        <v>234</v>
      </c>
      <c r="D141" s="159" t="s">
        <v>171</v>
      </c>
      <c r="E141" s="139">
        <v>0.2572266725010004</v>
      </c>
      <c r="F141" s="411" t="str">
        <f>IF(D141="","",VLOOKUP(D141,'G-6 Hedgerow Data'!$B$2:$AG$15,2,FALSE))</f>
        <v>Medium</v>
      </c>
      <c r="G141" s="363">
        <f>IF(D141="","",VLOOKUP(D141,'G-6 Hedgerow Data'!$B$2:$AG$15,3,FALSE))</f>
        <v>4</v>
      </c>
      <c r="H141" s="114" t="s">
        <v>68</v>
      </c>
      <c r="I141" s="363">
        <f>IFERROR(VLOOKUP(H141,'G-1 All Habitats'!$Z$2:$AA$9,2,FALSE),"")</f>
        <v>3</v>
      </c>
      <c r="J141" s="114" t="s">
        <v>1037</v>
      </c>
      <c r="K141" s="382" t="str">
        <f>IF(J141="","",IF(VLOOKUP(J141,'G-3 Multipliers'!$L$3:$N$6,2,FALSE)=0,"Spatial Data Missing ⚠",VLOOKUP(J141,'G-3 Multipliers'!$L$3:$N$6,2,FALSE)))</f>
        <v>Low Strategic Significance</v>
      </c>
      <c r="L141" s="368">
        <f>IF(J141="","",IF(VLOOKUP(J141,'G-3 Multipliers'!$L$3:$N$6,3,FALSE)=0,"Spatial Data Missing ⚠",VLOOKUP(J141,'G-3 Multipliers'!$L$3:$N$6,3,FALSE)))</f>
        <v>1</v>
      </c>
      <c r="M141" s="362">
        <f>IF(OR(D141="",H141=""),"",(INDEX('G-6 Hedgerow Data'!$E$3:$I$15,MATCH(D141,'G-6 Hedgerow Data'!$B$3:$B$15,0),MATCH(H141,'G-6 Hedgerow Data'!$E$2:$I$2,0))))</f>
        <v>12</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Standard time to target condition applied</v>
      </c>
      <c r="Q141" s="383">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12</v>
      </c>
      <c r="R141" s="384">
        <f t="shared" si="12"/>
        <v>0.65212036070000001</v>
      </c>
      <c r="S141" s="398" t="str">
        <f>IF(D141="","",VLOOKUP(D141,'G-6 Hedgerow Data'!$B$3:$AG$15,31,FALSE))</f>
        <v>Low</v>
      </c>
      <c r="T141" s="370" t="str">
        <f t="shared" ref="T141:T204" si="15">IF(D141="","",IF(Q141="Check Data ⚠","Check Data ⚠",IF(H141="","",IF($P141="Check details - Is there evidence that habitat has reached target condition? ⚠","Low Difficulty - only applicable if all habitat created before losses ⚠","Standard difficulty applied"))))</f>
        <v>Standard difficulty applied</v>
      </c>
      <c r="U141" s="370" t="str">
        <f t="shared" ref="U141:U204" si="16">(IF(AND(T141="Standard difficulty applied",M141&gt;N141),S141,IF(AND(T141="Low Difficulty - only applicable if all habitat created before losses ⚠",Q141&lt;=0),"Low",S141)))</f>
        <v>Low</v>
      </c>
      <c r="V141" s="386">
        <f>IF(D141="","",VLOOKUP(S141,'G-3 Multipliers'!$P$3:$Q$6,2,FALSE))</f>
        <v>1</v>
      </c>
      <c r="W141" s="390">
        <f t="shared" ref="W141:W204" si="17">IFERROR(E141*G141*I141*L141*R141*V141,"")</f>
        <v>2.0129130054361579</v>
      </c>
      <c r="X141" s="117"/>
      <c r="Y141" s="118"/>
      <c r="Z141" s="120"/>
      <c r="AG141" s="30" t="str">
        <f>IFERROR(INDEX('G-6 Hedgerow Data'!$BJ$3:$BJ$15,MATCH(D141,'G-6 Hedgerow Data'!$B$3:$B$15,0)),"")</f>
        <v>Hedgecond1</v>
      </c>
    </row>
    <row r="142" spans="2:33" ht="28.5" x14ac:dyDescent="0.2">
      <c r="B142" s="110">
        <v>131</v>
      </c>
      <c r="C142" s="167">
        <v>236</v>
      </c>
      <c r="D142" s="159" t="s">
        <v>171</v>
      </c>
      <c r="E142" s="139">
        <v>0.15053038948663999</v>
      </c>
      <c r="F142" s="411" t="str">
        <f>IF(D142="","",VLOOKUP(D142,'G-6 Hedgerow Data'!$B$2:$AG$15,2,FALSE))</f>
        <v>Medium</v>
      </c>
      <c r="G142" s="363">
        <f>IF(D142="","",VLOOKUP(D142,'G-6 Hedgerow Data'!$B$2:$AG$15,3,FALSE))</f>
        <v>4</v>
      </c>
      <c r="H142" s="114" t="s">
        <v>68</v>
      </c>
      <c r="I142" s="363">
        <f>IFERROR(VLOOKUP(H142,'G-1 All Habitats'!$Z$2:$AA$9,2,FALSE),"")</f>
        <v>3</v>
      </c>
      <c r="J142" s="114" t="s">
        <v>1037</v>
      </c>
      <c r="K142" s="382" t="str">
        <f>IF(J142="","",IF(VLOOKUP(J142,'G-3 Multipliers'!$L$3:$N$6,2,FALSE)=0,"Spatial Data Missing ⚠",VLOOKUP(J142,'G-3 Multipliers'!$L$3:$N$6,2,FALSE)))</f>
        <v>Low Strategic Significance</v>
      </c>
      <c r="L142" s="368">
        <f>IF(J142="","",IF(VLOOKUP(J142,'G-3 Multipliers'!$L$3:$N$6,3,FALSE)=0,"Spatial Data Missing ⚠",VLOOKUP(J142,'G-3 Multipliers'!$L$3:$N$6,3,FALSE)))</f>
        <v>1</v>
      </c>
      <c r="M142" s="362">
        <f>IF(OR(D142="",H142=""),"",(INDEX('G-6 Hedgerow Data'!$E$3:$I$15,MATCH(D142,'G-6 Hedgerow Data'!$B$3:$B$15,0),MATCH(H142,'G-6 Hedgerow Data'!$E$2:$I$2,0))))</f>
        <v>12</v>
      </c>
      <c r="N142" s="159"/>
      <c r="O142" s="159"/>
      <c r="P142" s="370" t="str">
        <f t="shared" si="13"/>
        <v>Standard time to target condition applied</v>
      </c>
      <c r="Q142" s="383">
        <f t="shared" si="14"/>
        <v>12</v>
      </c>
      <c r="R142" s="384">
        <f t="shared" si="12"/>
        <v>0.65212036070000001</v>
      </c>
      <c r="S142" s="398" t="str">
        <f>IF(D142="","",VLOOKUP(D142,'G-6 Hedgerow Data'!$B$3:$AG$15,31,FALSE))</f>
        <v>Low</v>
      </c>
      <c r="T142" s="370" t="str">
        <f t="shared" si="15"/>
        <v>Standard difficulty applied</v>
      </c>
      <c r="U142" s="370" t="str">
        <f t="shared" si="16"/>
        <v>Low</v>
      </c>
      <c r="V142" s="386">
        <f>IF(D142="","",VLOOKUP(S142,'G-3 Multipliers'!$P$3:$Q$6,2,FALSE))</f>
        <v>1</v>
      </c>
      <c r="W142" s="390">
        <f t="shared" si="17"/>
        <v>1.1779671826600699</v>
      </c>
      <c r="X142" s="117"/>
      <c r="Y142" s="118"/>
      <c r="Z142" s="120"/>
      <c r="AG142" s="30" t="str">
        <f>IFERROR(INDEX('G-6 Hedgerow Data'!$BJ$3:$BJ$15,MATCH(D142,'G-6 Hedgerow Data'!$B$3:$B$15,0)),"")</f>
        <v>Hedgecond1</v>
      </c>
    </row>
    <row r="143" spans="2:33" ht="28.5" x14ac:dyDescent="0.2">
      <c r="B143" s="110">
        <v>132</v>
      </c>
      <c r="C143" s="167">
        <v>238</v>
      </c>
      <c r="D143" s="159" t="s">
        <v>171</v>
      </c>
      <c r="E143" s="139">
        <v>6.3289898924359642E-2</v>
      </c>
      <c r="F143" s="411" t="str">
        <f>IF(D143="","",VLOOKUP(D143,'G-6 Hedgerow Data'!$B$2:$AG$15,2,FALSE))</f>
        <v>Medium</v>
      </c>
      <c r="G143" s="363">
        <f>IF(D143="","",VLOOKUP(D143,'G-6 Hedgerow Data'!$B$2:$AG$15,3,FALSE))</f>
        <v>4</v>
      </c>
      <c r="H143" s="114" t="s">
        <v>68</v>
      </c>
      <c r="I143" s="363">
        <f>IFERROR(VLOOKUP(H143,'G-1 All Habitats'!$Z$2:$AA$9,2,FALSE),"")</f>
        <v>3</v>
      </c>
      <c r="J143" s="114" t="s">
        <v>1037</v>
      </c>
      <c r="K143" s="382" t="str">
        <f>IF(J143="","",IF(VLOOKUP(J143,'G-3 Multipliers'!$L$3:$N$6,2,FALSE)=0,"Spatial Data Missing ⚠",VLOOKUP(J143,'G-3 Multipliers'!$L$3:$N$6,2,FALSE)))</f>
        <v>Low Strategic Significance</v>
      </c>
      <c r="L143" s="368">
        <f>IF(J143="","",IF(VLOOKUP(J143,'G-3 Multipliers'!$L$3:$N$6,3,FALSE)=0,"Spatial Data Missing ⚠",VLOOKUP(J143,'G-3 Multipliers'!$L$3:$N$6,3,FALSE)))</f>
        <v>1</v>
      </c>
      <c r="M143" s="362">
        <f>IF(OR(D143="",H143=""),"",(INDEX('G-6 Hedgerow Data'!$E$3:$I$15,MATCH(D143,'G-6 Hedgerow Data'!$B$3:$B$15,0),MATCH(H143,'G-6 Hedgerow Data'!$E$2:$I$2,0))))</f>
        <v>12</v>
      </c>
      <c r="N143" s="159"/>
      <c r="O143" s="159"/>
      <c r="P143" s="370" t="str">
        <f t="shared" si="13"/>
        <v>Standard time to target condition applied</v>
      </c>
      <c r="Q143" s="383">
        <f t="shared" si="14"/>
        <v>12</v>
      </c>
      <c r="R143" s="384">
        <f t="shared" si="12"/>
        <v>0.65212036070000001</v>
      </c>
      <c r="S143" s="398" t="str">
        <f>IF(D143="","",VLOOKUP(D143,'G-6 Hedgerow Data'!$B$3:$AG$15,31,FALSE))</f>
        <v>Low</v>
      </c>
      <c r="T143" s="370" t="str">
        <f t="shared" si="15"/>
        <v>Standard difficulty applied</v>
      </c>
      <c r="U143" s="370" t="str">
        <f t="shared" si="16"/>
        <v>Low</v>
      </c>
      <c r="V143" s="386">
        <f>IF(D143="","",VLOOKUP(S143,'G-3 Multipliers'!$P$3:$Q$6,2,FALSE))</f>
        <v>1</v>
      </c>
      <c r="W143" s="390">
        <f t="shared" si="17"/>
        <v>0.49527158058263937</v>
      </c>
      <c r="X143" s="117"/>
      <c r="Y143" s="118"/>
      <c r="Z143" s="120"/>
      <c r="AG143" s="30" t="str">
        <f>IFERROR(INDEX('G-6 Hedgerow Data'!$BJ$3:$BJ$15,MATCH(D143,'G-6 Hedgerow Data'!$B$3:$B$15,0)),"")</f>
        <v>Hedgecond1</v>
      </c>
    </row>
    <row r="144" spans="2:33" ht="28.5" x14ac:dyDescent="0.2">
      <c r="B144" s="110">
        <v>133</v>
      </c>
      <c r="C144" s="167">
        <v>240</v>
      </c>
      <c r="D144" s="159" t="s">
        <v>171</v>
      </c>
      <c r="E144" s="139">
        <v>0.1853090278677488</v>
      </c>
      <c r="F144" s="411" t="str">
        <f>IF(D144="","",VLOOKUP(D144,'G-6 Hedgerow Data'!$B$2:$AG$15,2,FALSE))</f>
        <v>Medium</v>
      </c>
      <c r="G144" s="363">
        <f>IF(D144="","",VLOOKUP(D144,'G-6 Hedgerow Data'!$B$2:$AG$15,3,FALSE))</f>
        <v>4</v>
      </c>
      <c r="H144" s="114" t="s">
        <v>68</v>
      </c>
      <c r="I144" s="363">
        <f>IFERROR(VLOOKUP(H144,'G-1 All Habitats'!$Z$2:$AA$9,2,FALSE),"")</f>
        <v>3</v>
      </c>
      <c r="J144" s="114" t="s">
        <v>1037</v>
      </c>
      <c r="K144" s="382" t="str">
        <f>IF(J144="","",IF(VLOOKUP(J144,'G-3 Multipliers'!$L$3:$N$6,2,FALSE)=0,"Spatial Data Missing ⚠",VLOOKUP(J144,'G-3 Multipliers'!$L$3:$N$6,2,FALSE)))</f>
        <v>Low Strategic Significance</v>
      </c>
      <c r="L144" s="368">
        <f>IF(J144="","",IF(VLOOKUP(J144,'G-3 Multipliers'!$L$3:$N$6,3,FALSE)=0,"Spatial Data Missing ⚠",VLOOKUP(J144,'G-3 Multipliers'!$L$3:$N$6,3,FALSE)))</f>
        <v>1</v>
      </c>
      <c r="M144" s="362">
        <f>IF(OR(D144="",H144=""),"",(INDEX('G-6 Hedgerow Data'!$E$3:$I$15,MATCH(D144,'G-6 Hedgerow Data'!$B$3:$B$15,0),MATCH(H144,'G-6 Hedgerow Data'!$E$2:$I$2,0))))</f>
        <v>12</v>
      </c>
      <c r="N144" s="159"/>
      <c r="O144" s="159"/>
      <c r="P144" s="370" t="str">
        <f t="shared" si="13"/>
        <v>Standard time to target condition applied</v>
      </c>
      <c r="Q144" s="383">
        <f t="shared" si="14"/>
        <v>12</v>
      </c>
      <c r="R144" s="384">
        <f t="shared" si="12"/>
        <v>0.65212036070000001</v>
      </c>
      <c r="S144" s="398" t="str">
        <f>IF(D144="","",VLOOKUP(D144,'G-6 Hedgerow Data'!$B$3:$AG$15,31,FALSE))</f>
        <v>Low</v>
      </c>
      <c r="T144" s="370" t="str">
        <f t="shared" si="15"/>
        <v>Standard difficulty applied</v>
      </c>
      <c r="U144" s="370" t="str">
        <f t="shared" si="16"/>
        <v>Low</v>
      </c>
      <c r="V144" s="386">
        <f>IF(D144="","",VLOOKUP(S144,'G-3 Multipliers'!$P$3:$Q$6,2,FALSE))</f>
        <v>1</v>
      </c>
      <c r="W144" s="390">
        <f t="shared" si="17"/>
        <v>1.4501254811289923</v>
      </c>
      <c r="X144" s="117"/>
      <c r="Y144" s="118"/>
      <c r="Z144" s="120"/>
      <c r="AG144" s="30" t="str">
        <f>IFERROR(INDEX('G-6 Hedgerow Data'!$BJ$3:$BJ$15,MATCH(D144,'G-6 Hedgerow Data'!$B$3:$B$15,0)),"")</f>
        <v>Hedgecond1</v>
      </c>
    </row>
    <row r="145" spans="2:33" ht="28.5" x14ac:dyDescent="0.2">
      <c r="B145" s="110">
        <v>134</v>
      </c>
      <c r="C145" s="167">
        <v>242</v>
      </c>
      <c r="D145" s="159" t="s">
        <v>171</v>
      </c>
      <c r="E145" s="139">
        <v>5.0307795964614745E-2</v>
      </c>
      <c r="F145" s="411" t="str">
        <f>IF(D145="","",VLOOKUP(D145,'G-6 Hedgerow Data'!$B$2:$AG$15,2,FALSE))</f>
        <v>Medium</v>
      </c>
      <c r="G145" s="363">
        <f>IF(D145="","",VLOOKUP(D145,'G-6 Hedgerow Data'!$B$2:$AG$15,3,FALSE))</f>
        <v>4</v>
      </c>
      <c r="H145" s="114" t="s">
        <v>68</v>
      </c>
      <c r="I145" s="363">
        <f>IFERROR(VLOOKUP(H145,'G-1 All Habitats'!$Z$2:$AA$9,2,FALSE),"")</f>
        <v>3</v>
      </c>
      <c r="J145" s="114" t="s">
        <v>1037</v>
      </c>
      <c r="K145" s="382" t="str">
        <f>IF(J145="","",IF(VLOOKUP(J145,'G-3 Multipliers'!$L$3:$N$6,2,FALSE)=0,"Spatial Data Missing ⚠",VLOOKUP(J145,'G-3 Multipliers'!$L$3:$N$6,2,FALSE)))</f>
        <v>Low Strategic Significance</v>
      </c>
      <c r="L145" s="368">
        <f>IF(J145="","",IF(VLOOKUP(J145,'G-3 Multipliers'!$L$3:$N$6,3,FALSE)=0,"Spatial Data Missing ⚠",VLOOKUP(J145,'G-3 Multipliers'!$L$3:$N$6,3,FALSE)))</f>
        <v>1</v>
      </c>
      <c r="M145" s="362">
        <f>IF(OR(D145="",H145=""),"",(INDEX('G-6 Hedgerow Data'!$E$3:$I$15,MATCH(D145,'G-6 Hedgerow Data'!$B$3:$B$15,0),MATCH(H145,'G-6 Hedgerow Data'!$E$2:$I$2,0))))</f>
        <v>12</v>
      </c>
      <c r="N145" s="159"/>
      <c r="O145" s="159"/>
      <c r="P145" s="370" t="str">
        <f t="shared" si="13"/>
        <v>Standard time to target condition applied</v>
      </c>
      <c r="Q145" s="383">
        <f t="shared" si="14"/>
        <v>12</v>
      </c>
      <c r="R145" s="384">
        <f t="shared" si="12"/>
        <v>0.65212036070000001</v>
      </c>
      <c r="S145" s="398" t="str">
        <f>IF(D145="","",VLOOKUP(D145,'G-6 Hedgerow Data'!$B$3:$AG$15,31,FALSE))</f>
        <v>Low</v>
      </c>
      <c r="T145" s="370" t="str">
        <f t="shared" si="15"/>
        <v>Standard difficulty applied</v>
      </c>
      <c r="U145" s="370" t="str">
        <f t="shared" si="16"/>
        <v>Low</v>
      </c>
      <c r="V145" s="386">
        <f>IF(D145="","",VLOOKUP(S145,'G-3 Multipliers'!$P$3:$Q$6,2,FALSE))</f>
        <v>1</v>
      </c>
      <c r="W145" s="390">
        <f t="shared" si="17"/>
        <v>0.39368085660559887</v>
      </c>
      <c r="X145" s="117"/>
      <c r="Y145" s="118"/>
      <c r="Z145" s="120"/>
      <c r="AG145" s="30" t="str">
        <f>IFERROR(INDEX('G-6 Hedgerow Data'!$BJ$3:$BJ$15,MATCH(D145,'G-6 Hedgerow Data'!$B$3:$B$15,0)),"")</f>
        <v>Hedgecond1</v>
      </c>
    </row>
    <row r="146" spans="2:33" ht="28.5" x14ac:dyDescent="0.2">
      <c r="B146" s="110">
        <v>135</v>
      </c>
      <c r="C146" s="167">
        <v>244</v>
      </c>
      <c r="D146" s="159" t="s">
        <v>171</v>
      </c>
      <c r="E146" s="139">
        <v>2.9599755079624219E-2</v>
      </c>
      <c r="F146" s="411" t="str">
        <f>IF(D146="","",VLOOKUP(D146,'G-6 Hedgerow Data'!$B$2:$AG$15,2,FALSE))</f>
        <v>Medium</v>
      </c>
      <c r="G146" s="363">
        <f>IF(D146="","",VLOOKUP(D146,'G-6 Hedgerow Data'!$B$2:$AG$15,3,FALSE))</f>
        <v>4</v>
      </c>
      <c r="H146" s="114" t="s">
        <v>68</v>
      </c>
      <c r="I146" s="363">
        <f>IFERROR(VLOOKUP(H146,'G-1 All Habitats'!$Z$2:$AA$9,2,FALSE),"")</f>
        <v>3</v>
      </c>
      <c r="J146" s="114" t="s">
        <v>1037</v>
      </c>
      <c r="K146" s="382" t="str">
        <f>IF(J146="","",IF(VLOOKUP(J146,'G-3 Multipliers'!$L$3:$N$6,2,FALSE)=0,"Spatial Data Missing ⚠",VLOOKUP(J146,'G-3 Multipliers'!$L$3:$N$6,2,FALSE)))</f>
        <v>Low Strategic Significance</v>
      </c>
      <c r="L146" s="368">
        <f>IF(J146="","",IF(VLOOKUP(J146,'G-3 Multipliers'!$L$3:$N$6,3,FALSE)=0,"Spatial Data Missing ⚠",VLOOKUP(J146,'G-3 Multipliers'!$L$3:$N$6,3,FALSE)))</f>
        <v>1</v>
      </c>
      <c r="M146" s="362">
        <f>IF(OR(D146="",H146=""),"",(INDEX('G-6 Hedgerow Data'!$E$3:$I$15,MATCH(D146,'G-6 Hedgerow Data'!$B$3:$B$15,0),MATCH(H146,'G-6 Hedgerow Data'!$E$2:$I$2,0))))</f>
        <v>12</v>
      </c>
      <c r="N146" s="159"/>
      <c r="O146" s="159"/>
      <c r="P146" s="370" t="str">
        <f t="shared" si="13"/>
        <v>Standard time to target condition applied</v>
      </c>
      <c r="Q146" s="383">
        <f t="shared" si="14"/>
        <v>12</v>
      </c>
      <c r="R146" s="384">
        <f t="shared" si="12"/>
        <v>0.65212036070000001</v>
      </c>
      <c r="S146" s="398" t="str">
        <f>IF(D146="","",VLOOKUP(D146,'G-6 Hedgerow Data'!$B$3:$AG$15,31,FALSE))</f>
        <v>Low</v>
      </c>
      <c r="T146" s="370" t="str">
        <f t="shared" si="15"/>
        <v>Standard difficulty applied</v>
      </c>
      <c r="U146" s="370" t="str">
        <f t="shared" si="16"/>
        <v>Low</v>
      </c>
      <c r="V146" s="386">
        <f>IF(D146="","",VLOOKUP(S146,'G-3 Multipliers'!$P$3:$Q$6,2,FALSE))</f>
        <v>1</v>
      </c>
      <c r="W146" s="390">
        <f t="shared" si="17"/>
        <v>0.23163123550987444</v>
      </c>
      <c r="X146" s="117"/>
      <c r="Y146" s="118"/>
      <c r="Z146" s="120"/>
      <c r="AG146" s="30" t="str">
        <f>IFERROR(INDEX('G-6 Hedgerow Data'!$BJ$3:$BJ$15,MATCH(D146,'G-6 Hedgerow Data'!$B$3:$B$15,0)),"")</f>
        <v>Hedgecond1</v>
      </c>
    </row>
    <row r="147" spans="2:33" ht="28.5" x14ac:dyDescent="0.2">
      <c r="B147" s="110">
        <v>136</v>
      </c>
      <c r="C147" s="167">
        <v>245</v>
      </c>
      <c r="D147" s="159" t="s">
        <v>171</v>
      </c>
      <c r="E147" s="139">
        <v>8.3032678809020932E-2</v>
      </c>
      <c r="F147" s="411" t="str">
        <f>IF(D147="","",VLOOKUP(D147,'G-6 Hedgerow Data'!$B$2:$AG$15,2,FALSE))</f>
        <v>Medium</v>
      </c>
      <c r="G147" s="363">
        <f>IF(D147="","",VLOOKUP(D147,'G-6 Hedgerow Data'!$B$2:$AG$15,3,FALSE))</f>
        <v>4</v>
      </c>
      <c r="H147" s="114" t="s">
        <v>68</v>
      </c>
      <c r="I147" s="363">
        <f>IFERROR(VLOOKUP(H147,'G-1 All Habitats'!$Z$2:$AA$9,2,FALSE),"")</f>
        <v>3</v>
      </c>
      <c r="J147" s="114" t="s">
        <v>1037</v>
      </c>
      <c r="K147" s="382" t="str">
        <f>IF(J147="","",IF(VLOOKUP(J147,'G-3 Multipliers'!$L$3:$N$6,2,FALSE)=0,"Spatial Data Missing ⚠",VLOOKUP(J147,'G-3 Multipliers'!$L$3:$N$6,2,FALSE)))</f>
        <v>Low Strategic Significance</v>
      </c>
      <c r="L147" s="368">
        <f>IF(J147="","",IF(VLOOKUP(J147,'G-3 Multipliers'!$L$3:$N$6,3,FALSE)=0,"Spatial Data Missing ⚠",VLOOKUP(J147,'G-3 Multipliers'!$L$3:$N$6,3,FALSE)))</f>
        <v>1</v>
      </c>
      <c r="M147" s="362">
        <f>IF(OR(D147="",H147=""),"",(INDEX('G-6 Hedgerow Data'!$E$3:$I$15,MATCH(D147,'G-6 Hedgerow Data'!$B$3:$B$15,0),MATCH(H147,'G-6 Hedgerow Data'!$E$2:$I$2,0))))</f>
        <v>12</v>
      </c>
      <c r="N147" s="159"/>
      <c r="O147" s="159"/>
      <c r="P147" s="370" t="str">
        <f t="shared" si="13"/>
        <v>Standard time to target condition applied</v>
      </c>
      <c r="Q147" s="383">
        <f t="shared" si="14"/>
        <v>12</v>
      </c>
      <c r="R147" s="384">
        <f t="shared" si="12"/>
        <v>0.65212036070000001</v>
      </c>
      <c r="S147" s="398" t="str">
        <f>IF(D147="","",VLOOKUP(D147,'G-6 Hedgerow Data'!$B$3:$AG$15,31,FALSE))</f>
        <v>Low</v>
      </c>
      <c r="T147" s="370" t="str">
        <f t="shared" si="15"/>
        <v>Standard difficulty applied</v>
      </c>
      <c r="U147" s="370" t="str">
        <f t="shared" si="16"/>
        <v>Low</v>
      </c>
      <c r="V147" s="386">
        <f>IF(D147="","",VLOOKUP(S147,'G-3 Multipliers'!$P$3:$Q$6,2,FALSE))</f>
        <v>1</v>
      </c>
      <c r="W147" s="390">
        <f t="shared" si="17"/>
        <v>0.64976760545791168</v>
      </c>
      <c r="X147" s="117"/>
      <c r="Y147" s="118"/>
      <c r="Z147" s="120"/>
      <c r="AG147" s="30" t="str">
        <f>IFERROR(INDEX('G-6 Hedgerow Data'!$BJ$3:$BJ$15,MATCH(D147,'G-6 Hedgerow Data'!$B$3:$B$15,0)),"")</f>
        <v>Hedgecond1</v>
      </c>
    </row>
    <row r="148" spans="2:33" ht="28.5" x14ac:dyDescent="0.2">
      <c r="B148" s="110">
        <v>137</v>
      </c>
      <c r="C148" s="167">
        <v>247</v>
      </c>
      <c r="D148" s="159" t="s">
        <v>171</v>
      </c>
      <c r="E148" s="139">
        <v>4.5874352994475606E-2</v>
      </c>
      <c r="F148" s="411" t="str">
        <f>IF(D148="","",VLOOKUP(D148,'G-6 Hedgerow Data'!$B$2:$AG$15,2,FALSE))</f>
        <v>Medium</v>
      </c>
      <c r="G148" s="363">
        <f>IF(D148="","",VLOOKUP(D148,'G-6 Hedgerow Data'!$B$2:$AG$15,3,FALSE))</f>
        <v>4</v>
      </c>
      <c r="H148" s="114" t="s">
        <v>68</v>
      </c>
      <c r="I148" s="363">
        <f>IFERROR(VLOOKUP(H148,'G-1 All Habitats'!$Z$2:$AA$9,2,FALSE),"")</f>
        <v>3</v>
      </c>
      <c r="J148" s="114" t="s">
        <v>1037</v>
      </c>
      <c r="K148" s="382" t="str">
        <f>IF(J148="","",IF(VLOOKUP(J148,'G-3 Multipliers'!$L$3:$N$6,2,FALSE)=0,"Spatial Data Missing ⚠",VLOOKUP(J148,'G-3 Multipliers'!$L$3:$N$6,2,FALSE)))</f>
        <v>Low Strategic Significance</v>
      </c>
      <c r="L148" s="368">
        <f>IF(J148="","",IF(VLOOKUP(J148,'G-3 Multipliers'!$L$3:$N$6,3,FALSE)=0,"Spatial Data Missing ⚠",VLOOKUP(J148,'G-3 Multipliers'!$L$3:$N$6,3,FALSE)))</f>
        <v>1</v>
      </c>
      <c r="M148" s="362">
        <f>IF(OR(D148="",H148=""),"",(INDEX('G-6 Hedgerow Data'!$E$3:$I$15,MATCH(D148,'G-6 Hedgerow Data'!$B$3:$B$15,0),MATCH(H148,'G-6 Hedgerow Data'!$E$2:$I$2,0))))</f>
        <v>12</v>
      </c>
      <c r="N148" s="159"/>
      <c r="O148" s="159"/>
      <c r="P148" s="370" t="str">
        <f t="shared" si="13"/>
        <v>Standard time to target condition applied</v>
      </c>
      <c r="Q148" s="383">
        <f t="shared" si="14"/>
        <v>12</v>
      </c>
      <c r="R148" s="384">
        <f t="shared" si="12"/>
        <v>0.65212036070000001</v>
      </c>
      <c r="S148" s="398" t="str">
        <f>IF(D148="","",VLOOKUP(D148,'G-6 Hedgerow Data'!$B$3:$AG$15,31,FALSE))</f>
        <v>Low</v>
      </c>
      <c r="T148" s="370" t="str">
        <f t="shared" si="15"/>
        <v>Standard difficulty applied</v>
      </c>
      <c r="U148" s="370" t="str">
        <f t="shared" si="16"/>
        <v>Low</v>
      </c>
      <c r="V148" s="386">
        <f>IF(D148="","",VLOOKUP(S148,'G-3 Multipliers'!$P$3:$Q$6,2,FALSE))</f>
        <v>1</v>
      </c>
      <c r="W148" s="390">
        <f t="shared" si="17"/>
        <v>0.35898719545963864</v>
      </c>
      <c r="X148" s="117"/>
      <c r="Y148" s="118"/>
      <c r="Z148" s="120"/>
      <c r="AG148" s="30" t="str">
        <f>IFERROR(INDEX('G-6 Hedgerow Data'!$BJ$3:$BJ$15,MATCH(D148,'G-6 Hedgerow Data'!$B$3:$B$15,0)),"")</f>
        <v>Hedgecond1</v>
      </c>
    </row>
    <row r="149" spans="2:33" ht="28.5" x14ac:dyDescent="0.2">
      <c r="B149" s="110">
        <v>138</v>
      </c>
      <c r="C149" s="167">
        <v>248</v>
      </c>
      <c r="D149" s="159" t="s">
        <v>171</v>
      </c>
      <c r="E149" s="139">
        <v>2.370297817664644E-2</v>
      </c>
      <c r="F149" s="411" t="str">
        <f>IF(D149="","",VLOOKUP(D149,'G-6 Hedgerow Data'!$B$2:$AG$15,2,FALSE))</f>
        <v>Medium</v>
      </c>
      <c r="G149" s="363">
        <f>IF(D149="","",VLOOKUP(D149,'G-6 Hedgerow Data'!$B$2:$AG$15,3,FALSE))</f>
        <v>4</v>
      </c>
      <c r="H149" s="114" t="s">
        <v>68</v>
      </c>
      <c r="I149" s="363">
        <f>IFERROR(VLOOKUP(H149,'G-1 All Habitats'!$Z$2:$AA$9,2,FALSE),"")</f>
        <v>3</v>
      </c>
      <c r="J149" s="114" t="s">
        <v>1037</v>
      </c>
      <c r="K149" s="382" t="str">
        <f>IF(J149="","",IF(VLOOKUP(J149,'G-3 Multipliers'!$L$3:$N$6,2,FALSE)=0,"Spatial Data Missing ⚠",VLOOKUP(J149,'G-3 Multipliers'!$L$3:$N$6,2,FALSE)))</f>
        <v>Low Strategic Significance</v>
      </c>
      <c r="L149" s="368">
        <f>IF(J149="","",IF(VLOOKUP(J149,'G-3 Multipliers'!$L$3:$N$6,3,FALSE)=0,"Spatial Data Missing ⚠",VLOOKUP(J149,'G-3 Multipliers'!$L$3:$N$6,3,FALSE)))</f>
        <v>1</v>
      </c>
      <c r="M149" s="362">
        <f>IF(OR(D149="",H149=""),"",(INDEX('G-6 Hedgerow Data'!$E$3:$I$15,MATCH(D149,'G-6 Hedgerow Data'!$B$3:$B$15,0),MATCH(H149,'G-6 Hedgerow Data'!$E$2:$I$2,0))))</f>
        <v>12</v>
      </c>
      <c r="N149" s="159"/>
      <c r="O149" s="159"/>
      <c r="P149" s="370" t="str">
        <f t="shared" si="13"/>
        <v>Standard time to target condition applied</v>
      </c>
      <c r="Q149" s="383">
        <f t="shared" si="14"/>
        <v>12</v>
      </c>
      <c r="R149" s="384">
        <f t="shared" si="12"/>
        <v>0.65212036070000001</v>
      </c>
      <c r="S149" s="398" t="str">
        <f>IF(D149="","",VLOOKUP(D149,'G-6 Hedgerow Data'!$B$3:$AG$15,31,FALSE))</f>
        <v>Low</v>
      </c>
      <c r="T149" s="370" t="str">
        <f t="shared" si="15"/>
        <v>Standard difficulty applied</v>
      </c>
      <c r="U149" s="370" t="str">
        <f t="shared" si="16"/>
        <v>Low</v>
      </c>
      <c r="V149" s="386">
        <f>IF(D149="","",VLOOKUP(S149,'G-3 Multipliers'!$P$3:$Q$6,2,FALSE))</f>
        <v>1</v>
      </c>
      <c r="W149" s="390">
        <f t="shared" si="17"/>
        <v>0.18548633613862689</v>
      </c>
      <c r="X149" s="117"/>
      <c r="Y149" s="118"/>
      <c r="Z149" s="120"/>
      <c r="AG149" s="30" t="str">
        <f>IFERROR(INDEX('G-6 Hedgerow Data'!$BJ$3:$BJ$15,MATCH(D149,'G-6 Hedgerow Data'!$B$3:$B$15,0)),"")</f>
        <v>Hedgecond1</v>
      </c>
    </row>
    <row r="150" spans="2:33" ht="28.5" x14ac:dyDescent="0.2">
      <c r="B150" s="110">
        <v>139</v>
      </c>
      <c r="C150" s="167">
        <v>250</v>
      </c>
      <c r="D150" s="159" t="s">
        <v>171</v>
      </c>
      <c r="E150" s="139">
        <v>5.7137640945499953E-2</v>
      </c>
      <c r="F150" s="411" t="str">
        <f>IF(D150="","",VLOOKUP(D150,'G-6 Hedgerow Data'!$B$2:$AG$15,2,FALSE))</f>
        <v>Medium</v>
      </c>
      <c r="G150" s="363">
        <f>IF(D150="","",VLOOKUP(D150,'G-6 Hedgerow Data'!$B$2:$AG$15,3,FALSE))</f>
        <v>4</v>
      </c>
      <c r="H150" s="114" t="s">
        <v>68</v>
      </c>
      <c r="I150" s="363">
        <f>IFERROR(VLOOKUP(H150,'G-1 All Habitats'!$Z$2:$AA$9,2,FALSE),"")</f>
        <v>3</v>
      </c>
      <c r="J150" s="114" t="s">
        <v>1037</v>
      </c>
      <c r="K150" s="382" t="str">
        <f>IF(J150="","",IF(VLOOKUP(J150,'G-3 Multipliers'!$L$3:$N$6,2,FALSE)=0,"Spatial Data Missing ⚠",VLOOKUP(J150,'G-3 Multipliers'!$L$3:$N$6,2,FALSE)))</f>
        <v>Low Strategic Significance</v>
      </c>
      <c r="L150" s="368">
        <f>IF(J150="","",IF(VLOOKUP(J150,'G-3 Multipliers'!$L$3:$N$6,3,FALSE)=0,"Spatial Data Missing ⚠",VLOOKUP(J150,'G-3 Multipliers'!$L$3:$N$6,3,FALSE)))</f>
        <v>1</v>
      </c>
      <c r="M150" s="362">
        <f>IF(OR(D150="",H150=""),"",(INDEX('G-6 Hedgerow Data'!$E$3:$I$15,MATCH(D150,'G-6 Hedgerow Data'!$B$3:$B$15,0),MATCH(H150,'G-6 Hedgerow Data'!$E$2:$I$2,0))))</f>
        <v>12</v>
      </c>
      <c r="N150" s="159"/>
      <c r="O150" s="159"/>
      <c r="P150" s="370" t="str">
        <f t="shared" si="13"/>
        <v>Standard time to target condition applied</v>
      </c>
      <c r="Q150" s="383">
        <f t="shared" si="14"/>
        <v>12</v>
      </c>
      <c r="R150" s="384">
        <f t="shared" si="12"/>
        <v>0.65212036070000001</v>
      </c>
      <c r="S150" s="398" t="str">
        <f>IF(D150="","",VLOOKUP(D150,'G-6 Hedgerow Data'!$B$3:$AG$15,31,FALSE))</f>
        <v>Low</v>
      </c>
      <c r="T150" s="370" t="str">
        <f t="shared" si="15"/>
        <v>Standard difficulty applied</v>
      </c>
      <c r="U150" s="370" t="str">
        <f t="shared" si="16"/>
        <v>Low</v>
      </c>
      <c r="V150" s="386">
        <f>IF(D150="","",VLOOKUP(S150,'G-3 Multipliers'!$P$3:$Q$6,2,FALSE))</f>
        <v>1</v>
      </c>
      <c r="W150" s="390">
        <f t="shared" si="17"/>
        <v>0.44712742827511825</v>
      </c>
      <c r="X150" s="117"/>
      <c r="Y150" s="118"/>
      <c r="Z150" s="120"/>
      <c r="AG150" s="30" t="str">
        <f>IFERROR(INDEX('G-6 Hedgerow Data'!$BJ$3:$BJ$15,MATCH(D150,'G-6 Hedgerow Data'!$B$3:$B$15,0)),"")</f>
        <v>Hedgecond1</v>
      </c>
    </row>
    <row r="151" spans="2:33" ht="28.5" x14ac:dyDescent="0.2">
      <c r="B151" s="110">
        <v>140</v>
      </c>
      <c r="C151" s="167">
        <v>252</v>
      </c>
      <c r="D151" s="159" t="s">
        <v>171</v>
      </c>
      <c r="E151" s="139">
        <v>2.897129123788383E-2</v>
      </c>
      <c r="F151" s="411" t="str">
        <f>IF(D151="","",VLOOKUP(D151,'G-6 Hedgerow Data'!$B$2:$AG$15,2,FALSE))</f>
        <v>Medium</v>
      </c>
      <c r="G151" s="363">
        <f>IF(D151="","",VLOOKUP(D151,'G-6 Hedgerow Data'!$B$2:$AG$15,3,FALSE))</f>
        <v>4</v>
      </c>
      <c r="H151" s="114" t="s">
        <v>68</v>
      </c>
      <c r="I151" s="363">
        <f>IFERROR(VLOOKUP(H151,'G-1 All Habitats'!$Z$2:$AA$9,2,FALSE),"")</f>
        <v>3</v>
      </c>
      <c r="J151" s="114" t="s">
        <v>1037</v>
      </c>
      <c r="K151" s="382" t="str">
        <f>IF(J151="","",IF(VLOOKUP(J151,'G-3 Multipliers'!$L$3:$N$6,2,FALSE)=0,"Spatial Data Missing ⚠",VLOOKUP(J151,'G-3 Multipliers'!$L$3:$N$6,2,FALSE)))</f>
        <v>Low Strategic Significance</v>
      </c>
      <c r="L151" s="368">
        <f>IF(J151="","",IF(VLOOKUP(J151,'G-3 Multipliers'!$L$3:$N$6,3,FALSE)=0,"Spatial Data Missing ⚠",VLOOKUP(J151,'G-3 Multipliers'!$L$3:$N$6,3,FALSE)))</f>
        <v>1</v>
      </c>
      <c r="M151" s="362">
        <f>IF(OR(D151="",H151=""),"",(INDEX('G-6 Hedgerow Data'!$E$3:$I$15,MATCH(D151,'G-6 Hedgerow Data'!$B$3:$B$15,0),MATCH(H151,'G-6 Hedgerow Data'!$E$2:$I$2,0))))</f>
        <v>12</v>
      </c>
      <c r="N151" s="159"/>
      <c r="O151" s="159"/>
      <c r="P151" s="370" t="str">
        <f t="shared" si="13"/>
        <v>Standard time to target condition applied</v>
      </c>
      <c r="Q151" s="383">
        <f t="shared" si="14"/>
        <v>12</v>
      </c>
      <c r="R151" s="384">
        <f t="shared" si="12"/>
        <v>0.65212036070000001</v>
      </c>
      <c r="S151" s="398" t="str">
        <f>IF(D151="","",VLOOKUP(D151,'G-6 Hedgerow Data'!$B$3:$AG$15,31,FALSE))</f>
        <v>Low</v>
      </c>
      <c r="T151" s="370" t="str">
        <f t="shared" si="15"/>
        <v>Standard difficulty applied</v>
      </c>
      <c r="U151" s="370" t="str">
        <f t="shared" si="16"/>
        <v>Low</v>
      </c>
      <c r="V151" s="386">
        <f>IF(D151="","",VLOOKUP(S151,'G-3 Multipliers'!$P$3:$Q$6,2,FALSE))</f>
        <v>1</v>
      </c>
      <c r="W151" s="390">
        <f t="shared" si="17"/>
        <v>0.22671322670392263</v>
      </c>
      <c r="X151" s="117"/>
      <c r="Y151" s="118"/>
      <c r="Z151" s="120"/>
      <c r="AG151" s="30" t="str">
        <f>IFERROR(INDEX('G-6 Hedgerow Data'!$BJ$3:$BJ$15,MATCH(D151,'G-6 Hedgerow Data'!$B$3:$B$15,0)),"")</f>
        <v>Hedgecond1</v>
      </c>
    </row>
    <row r="152" spans="2:33" ht="28.5" x14ac:dyDescent="0.2">
      <c r="B152" s="110">
        <v>141</v>
      </c>
      <c r="C152" s="167">
        <v>253</v>
      </c>
      <c r="D152" s="159" t="s">
        <v>171</v>
      </c>
      <c r="E152" s="139">
        <v>3.3018304391221741E-2</v>
      </c>
      <c r="F152" s="411" t="str">
        <f>IF(D152="","",VLOOKUP(D152,'G-6 Hedgerow Data'!$B$2:$AG$15,2,FALSE))</f>
        <v>Medium</v>
      </c>
      <c r="G152" s="363">
        <f>IF(D152="","",VLOOKUP(D152,'G-6 Hedgerow Data'!$B$2:$AG$15,3,FALSE))</f>
        <v>4</v>
      </c>
      <c r="H152" s="114" t="s">
        <v>68</v>
      </c>
      <c r="I152" s="363">
        <f>IFERROR(VLOOKUP(H152,'G-1 All Habitats'!$Z$2:$AA$9,2,FALSE),"")</f>
        <v>3</v>
      </c>
      <c r="J152" s="114" t="s">
        <v>1037</v>
      </c>
      <c r="K152" s="382" t="str">
        <f>IF(J152="","",IF(VLOOKUP(J152,'G-3 Multipliers'!$L$3:$N$6,2,FALSE)=0,"Spatial Data Missing ⚠",VLOOKUP(J152,'G-3 Multipliers'!$L$3:$N$6,2,FALSE)))</f>
        <v>Low Strategic Significance</v>
      </c>
      <c r="L152" s="368">
        <f>IF(J152="","",IF(VLOOKUP(J152,'G-3 Multipliers'!$L$3:$N$6,3,FALSE)=0,"Spatial Data Missing ⚠",VLOOKUP(J152,'G-3 Multipliers'!$L$3:$N$6,3,FALSE)))</f>
        <v>1</v>
      </c>
      <c r="M152" s="362">
        <f>IF(OR(D152="",H152=""),"",(INDEX('G-6 Hedgerow Data'!$E$3:$I$15,MATCH(D152,'G-6 Hedgerow Data'!$B$3:$B$15,0),MATCH(H152,'G-6 Hedgerow Data'!$E$2:$I$2,0))))</f>
        <v>12</v>
      </c>
      <c r="N152" s="159"/>
      <c r="O152" s="159"/>
      <c r="P152" s="370" t="str">
        <f t="shared" si="13"/>
        <v>Standard time to target condition applied</v>
      </c>
      <c r="Q152" s="383">
        <f t="shared" si="14"/>
        <v>12</v>
      </c>
      <c r="R152" s="384">
        <f t="shared" si="12"/>
        <v>0.65212036070000001</v>
      </c>
      <c r="S152" s="398" t="str">
        <f>IF(D152="","",VLOOKUP(D152,'G-6 Hedgerow Data'!$B$3:$AG$15,31,FALSE))</f>
        <v>Low</v>
      </c>
      <c r="T152" s="370" t="str">
        <f t="shared" si="15"/>
        <v>Standard difficulty applied</v>
      </c>
      <c r="U152" s="370" t="str">
        <f t="shared" si="16"/>
        <v>Low</v>
      </c>
      <c r="V152" s="386">
        <f>IF(D152="","",VLOOKUP(S152,'G-3 Multipliers'!$P$3:$Q$6,2,FALSE))</f>
        <v>1</v>
      </c>
      <c r="W152" s="390">
        <f t="shared" si="17"/>
        <v>0.25838290283167098</v>
      </c>
      <c r="X152" s="117"/>
      <c r="Y152" s="118"/>
      <c r="Z152" s="120"/>
      <c r="AG152" s="30" t="str">
        <f>IFERROR(INDEX('G-6 Hedgerow Data'!$BJ$3:$BJ$15,MATCH(D152,'G-6 Hedgerow Data'!$B$3:$B$15,0)),"")</f>
        <v>Hedgecond1</v>
      </c>
    </row>
    <row r="153" spans="2:33" ht="28.5" x14ac:dyDescent="0.2">
      <c r="B153" s="110">
        <v>142</v>
      </c>
      <c r="C153" s="167" t="s">
        <v>1983</v>
      </c>
      <c r="D153" s="159" t="s">
        <v>171</v>
      </c>
      <c r="E153" s="139">
        <v>0.59768845402428195</v>
      </c>
      <c r="F153" s="411" t="str">
        <f>IF(D153="","",VLOOKUP(D153,'G-6 Hedgerow Data'!$B$2:$AG$15,2,FALSE))</f>
        <v>Medium</v>
      </c>
      <c r="G153" s="363">
        <f>IF(D153="","",VLOOKUP(D153,'G-6 Hedgerow Data'!$B$2:$AG$15,3,FALSE))</f>
        <v>4</v>
      </c>
      <c r="H153" s="114" t="s">
        <v>68</v>
      </c>
      <c r="I153" s="363">
        <f>IFERROR(VLOOKUP(H153,'G-1 All Habitats'!$Z$2:$AA$9,2,FALSE),"")</f>
        <v>3</v>
      </c>
      <c r="J153" s="114" t="s">
        <v>1037</v>
      </c>
      <c r="K153" s="382" t="str">
        <f>IF(J153="","",IF(VLOOKUP(J153,'G-3 Multipliers'!$L$3:$N$6,2,FALSE)=0,"Spatial Data Missing ⚠",VLOOKUP(J153,'G-3 Multipliers'!$L$3:$N$6,2,FALSE)))</f>
        <v>Low Strategic Significance</v>
      </c>
      <c r="L153" s="368">
        <f>IF(J153="","",IF(VLOOKUP(J153,'G-3 Multipliers'!$L$3:$N$6,3,FALSE)=0,"Spatial Data Missing ⚠",VLOOKUP(J153,'G-3 Multipliers'!$L$3:$N$6,3,FALSE)))</f>
        <v>1</v>
      </c>
      <c r="M153" s="362">
        <f>IF(OR(D153="",H153=""),"",(INDEX('G-6 Hedgerow Data'!$E$3:$I$15,MATCH(D153,'G-6 Hedgerow Data'!$B$3:$B$15,0),MATCH(H153,'G-6 Hedgerow Data'!$E$2:$I$2,0))))</f>
        <v>12</v>
      </c>
      <c r="N153" s="159"/>
      <c r="O153" s="159"/>
      <c r="P153" s="370" t="str">
        <f t="shared" si="13"/>
        <v>Standard time to target condition applied</v>
      </c>
      <c r="Q153" s="383">
        <f t="shared" si="14"/>
        <v>12</v>
      </c>
      <c r="R153" s="384">
        <f t="shared" si="12"/>
        <v>0.65212036070000001</v>
      </c>
      <c r="S153" s="398" t="str">
        <f>IF(D153="","",VLOOKUP(D153,'G-6 Hedgerow Data'!$B$3:$AG$15,31,FALSE))</f>
        <v>Low</v>
      </c>
      <c r="T153" s="370" t="str">
        <f t="shared" si="15"/>
        <v>Standard difficulty applied</v>
      </c>
      <c r="U153" s="370" t="str">
        <f t="shared" si="16"/>
        <v>Low</v>
      </c>
      <c r="V153" s="386">
        <f>IF(D153="","",VLOOKUP(S153,'G-3 Multipliers'!$P$3:$Q$6,2,FALSE))</f>
        <v>1</v>
      </c>
      <c r="W153" s="390">
        <f t="shared" si="17"/>
        <v>4.6771777226944815</v>
      </c>
      <c r="X153" s="117"/>
      <c r="Y153" s="118"/>
      <c r="Z153" s="120"/>
      <c r="AG153" s="30" t="str">
        <f>IFERROR(INDEX('G-6 Hedgerow Data'!$BJ$3:$BJ$15,MATCH(D153,'G-6 Hedgerow Data'!$B$3:$B$15,0)),"")</f>
        <v>Hedgecond1</v>
      </c>
    </row>
    <row r="154" spans="2:33" ht="28.5" x14ac:dyDescent="0.2">
      <c r="B154" s="110">
        <v>143</v>
      </c>
      <c r="C154" s="167" t="s">
        <v>1984</v>
      </c>
      <c r="D154" s="159" t="s">
        <v>171</v>
      </c>
      <c r="E154" s="139">
        <v>7.476995447433353E-2</v>
      </c>
      <c r="F154" s="411" t="str">
        <f>IF(D154="","",VLOOKUP(D154,'G-6 Hedgerow Data'!$B$2:$AG$15,2,FALSE))</f>
        <v>Medium</v>
      </c>
      <c r="G154" s="363">
        <f>IF(D154="","",VLOOKUP(D154,'G-6 Hedgerow Data'!$B$2:$AG$15,3,FALSE))</f>
        <v>4</v>
      </c>
      <c r="H154" s="114" t="s">
        <v>68</v>
      </c>
      <c r="I154" s="363">
        <f>IFERROR(VLOOKUP(H154,'G-1 All Habitats'!$Z$2:$AA$9,2,FALSE),"")</f>
        <v>3</v>
      </c>
      <c r="J154" s="114" t="s">
        <v>1029</v>
      </c>
      <c r="K154" s="382" t="str">
        <f>IF(J154="","",IF(VLOOKUP(J154,'G-3 Multipliers'!$L$3:$N$6,2,FALSE)=0,"Spatial Data Missing ⚠",VLOOKUP(J154,'G-3 Multipliers'!$L$3:$N$6,2,FALSE)))</f>
        <v xml:space="preserve">High strategic significance </v>
      </c>
      <c r="L154" s="368">
        <f>IF(J154="","",IF(VLOOKUP(J154,'G-3 Multipliers'!$L$3:$N$6,3,FALSE)=0,"Spatial Data Missing ⚠",VLOOKUP(J154,'G-3 Multipliers'!$L$3:$N$6,3,FALSE)))</f>
        <v>1.1499999999999999</v>
      </c>
      <c r="M154" s="362">
        <f>IF(OR(D154="",H154=""),"",(INDEX('G-6 Hedgerow Data'!$E$3:$I$15,MATCH(D154,'G-6 Hedgerow Data'!$B$3:$B$15,0),MATCH(H154,'G-6 Hedgerow Data'!$E$2:$I$2,0))))</f>
        <v>12</v>
      </c>
      <c r="N154" s="159"/>
      <c r="O154" s="159"/>
      <c r="P154" s="370" t="str">
        <f t="shared" si="13"/>
        <v>Standard time to target condition applied</v>
      </c>
      <c r="Q154" s="383">
        <f t="shared" si="14"/>
        <v>12</v>
      </c>
      <c r="R154" s="384">
        <f t="shared" si="12"/>
        <v>0.65212036070000001</v>
      </c>
      <c r="S154" s="398" t="str">
        <f>IF(D154="","",VLOOKUP(D154,'G-6 Hedgerow Data'!$B$3:$AG$15,31,FALSE))</f>
        <v>Low</v>
      </c>
      <c r="T154" s="370" t="str">
        <f t="shared" si="15"/>
        <v>Standard difficulty applied</v>
      </c>
      <c r="U154" s="370" t="str">
        <f t="shared" si="16"/>
        <v>Low</v>
      </c>
      <c r="V154" s="386">
        <f>IF(D154="","",VLOOKUP(S154,'G-3 Multipliers'!$P$3:$Q$6,2,FALSE))</f>
        <v>1</v>
      </c>
      <c r="W154" s="390">
        <f t="shared" si="17"/>
        <v>0.67287433360228432</v>
      </c>
      <c r="X154" s="117"/>
      <c r="Y154" s="118"/>
      <c r="Z154" s="120"/>
      <c r="AG154" s="30" t="str">
        <f>IFERROR(INDEX('G-6 Hedgerow Data'!$BJ$3:$BJ$15,MATCH(D154,'G-6 Hedgerow Data'!$B$3:$B$15,0)),"")</f>
        <v>Hedgecond1</v>
      </c>
    </row>
    <row r="155" spans="2:33" ht="28.5" x14ac:dyDescent="0.2">
      <c r="B155" s="110">
        <v>144</v>
      </c>
      <c r="C155" s="167" t="s">
        <v>1985</v>
      </c>
      <c r="D155" s="159" t="s">
        <v>171</v>
      </c>
      <c r="E155" s="139">
        <v>0.29144176796048499</v>
      </c>
      <c r="F155" s="411" t="str">
        <f>IF(D155="","",VLOOKUP(D155,'G-6 Hedgerow Data'!$B$2:$AG$15,2,FALSE))</f>
        <v>Medium</v>
      </c>
      <c r="G155" s="363">
        <f>IF(D155="","",VLOOKUP(D155,'G-6 Hedgerow Data'!$B$2:$AG$15,3,FALSE))</f>
        <v>4</v>
      </c>
      <c r="H155" s="114" t="s">
        <v>68</v>
      </c>
      <c r="I155" s="363">
        <f>IFERROR(VLOOKUP(H155,'G-1 All Habitats'!$Z$2:$AA$9,2,FALSE),"")</f>
        <v>3</v>
      </c>
      <c r="J155" s="114" t="s">
        <v>1037</v>
      </c>
      <c r="K155" s="382" t="str">
        <f>IF(J155="","",IF(VLOOKUP(J155,'G-3 Multipliers'!$L$3:$N$6,2,FALSE)=0,"Spatial Data Missing ⚠",VLOOKUP(J155,'G-3 Multipliers'!$L$3:$N$6,2,FALSE)))</f>
        <v>Low Strategic Significance</v>
      </c>
      <c r="L155" s="368">
        <f>IF(J155="","",IF(VLOOKUP(J155,'G-3 Multipliers'!$L$3:$N$6,3,FALSE)=0,"Spatial Data Missing ⚠",VLOOKUP(J155,'G-3 Multipliers'!$L$3:$N$6,3,FALSE)))</f>
        <v>1</v>
      </c>
      <c r="M155" s="362">
        <f>IF(OR(D155="",H155=""),"",(INDEX('G-6 Hedgerow Data'!$E$3:$I$15,MATCH(D155,'G-6 Hedgerow Data'!$B$3:$B$15,0),MATCH(H155,'G-6 Hedgerow Data'!$E$2:$I$2,0))))</f>
        <v>12</v>
      </c>
      <c r="N155" s="159"/>
      <c r="O155" s="159"/>
      <c r="P155" s="370" t="str">
        <f t="shared" si="13"/>
        <v>Standard time to target condition applied</v>
      </c>
      <c r="Q155" s="383">
        <f t="shared" si="14"/>
        <v>12</v>
      </c>
      <c r="R155" s="384">
        <f t="shared" si="12"/>
        <v>0.65212036070000001</v>
      </c>
      <c r="S155" s="398" t="str">
        <f>IF(D155="","",VLOOKUP(D155,'G-6 Hedgerow Data'!$B$3:$AG$15,31,FALSE))</f>
        <v>Low</v>
      </c>
      <c r="T155" s="370" t="str">
        <f t="shared" si="15"/>
        <v>Standard difficulty applied</v>
      </c>
      <c r="U155" s="370" t="str">
        <f t="shared" si="16"/>
        <v>Low</v>
      </c>
      <c r="V155" s="386">
        <f>IF(D155="","",VLOOKUP(S155,'G-3 Multipliers'!$P$3:$Q$6,2,FALSE))</f>
        <v>1</v>
      </c>
      <c r="W155" s="390">
        <f t="shared" si="17"/>
        <v>2.2806613301452461</v>
      </c>
      <c r="X155" s="117"/>
      <c r="Y155" s="118"/>
      <c r="Z155" s="120"/>
      <c r="AG155" s="30" t="str">
        <f>IFERROR(INDEX('G-6 Hedgerow Data'!$BJ$3:$BJ$15,MATCH(D155,'G-6 Hedgerow Data'!$B$3:$B$15,0)),"")</f>
        <v>Hedgecond1</v>
      </c>
    </row>
    <row r="156" spans="2:33" ht="28.5" x14ac:dyDescent="0.2">
      <c r="B156" s="110">
        <v>145</v>
      </c>
      <c r="C156" s="167" t="s">
        <v>1986</v>
      </c>
      <c r="D156" s="159" t="s">
        <v>171</v>
      </c>
      <c r="E156" s="139">
        <v>4.6685228553503294E-2</v>
      </c>
      <c r="F156" s="411" t="str">
        <f>IF(D156="","",VLOOKUP(D156,'G-6 Hedgerow Data'!$B$2:$AG$15,2,FALSE))</f>
        <v>Medium</v>
      </c>
      <c r="G156" s="363">
        <f>IF(D156="","",VLOOKUP(D156,'G-6 Hedgerow Data'!$B$2:$AG$15,3,FALSE))</f>
        <v>4</v>
      </c>
      <c r="H156" s="114" t="s">
        <v>68</v>
      </c>
      <c r="I156" s="363">
        <f>IFERROR(VLOOKUP(H156,'G-1 All Habitats'!$Z$2:$AA$9,2,FALSE),"")</f>
        <v>3</v>
      </c>
      <c r="J156" s="114" t="s">
        <v>1029</v>
      </c>
      <c r="K156" s="382" t="str">
        <f>IF(J156="","",IF(VLOOKUP(J156,'G-3 Multipliers'!$L$3:$N$6,2,FALSE)=0,"Spatial Data Missing ⚠",VLOOKUP(J156,'G-3 Multipliers'!$L$3:$N$6,2,FALSE)))</f>
        <v xml:space="preserve">High strategic significance </v>
      </c>
      <c r="L156" s="368">
        <f>IF(J156="","",IF(VLOOKUP(J156,'G-3 Multipliers'!$L$3:$N$6,3,FALSE)=0,"Spatial Data Missing ⚠",VLOOKUP(J156,'G-3 Multipliers'!$L$3:$N$6,3,FALSE)))</f>
        <v>1.1499999999999999</v>
      </c>
      <c r="M156" s="362">
        <f>IF(OR(D156="",H156=""),"",(INDEX('G-6 Hedgerow Data'!$E$3:$I$15,MATCH(D156,'G-6 Hedgerow Data'!$B$3:$B$15,0),MATCH(H156,'G-6 Hedgerow Data'!$E$2:$I$2,0))))</f>
        <v>12</v>
      </c>
      <c r="N156" s="159"/>
      <c r="O156" s="159"/>
      <c r="P156" s="370" t="str">
        <f t="shared" si="13"/>
        <v>Standard time to target condition applied</v>
      </c>
      <c r="Q156" s="383">
        <f t="shared" si="14"/>
        <v>12</v>
      </c>
      <c r="R156" s="384">
        <f t="shared" si="12"/>
        <v>0.65212036070000001</v>
      </c>
      <c r="S156" s="398" t="str">
        <f>IF(D156="","",VLOOKUP(D156,'G-6 Hedgerow Data'!$B$3:$AG$15,31,FALSE))</f>
        <v>Low</v>
      </c>
      <c r="T156" s="370" t="str">
        <f t="shared" si="15"/>
        <v>Standard difficulty applied</v>
      </c>
      <c r="U156" s="370" t="str">
        <f t="shared" si="16"/>
        <v>Low</v>
      </c>
      <c r="V156" s="386">
        <f>IF(D156="","",VLOOKUP(S156,'G-3 Multipliers'!$P$3:$Q$6,2,FALSE))</f>
        <v>1</v>
      </c>
      <c r="W156" s="390">
        <f t="shared" si="17"/>
        <v>0.4201325555546806</v>
      </c>
      <c r="X156" s="117"/>
      <c r="Y156" s="118"/>
      <c r="Z156" s="120"/>
      <c r="AG156" s="30" t="str">
        <f>IFERROR(INDEX('G-6 Hedgerow Data'!$BJ$3:$BJ$15,MATCH(D156,'G-6 Hedgerow Data'!$B$3:$B$15,0)),"")</f>
        <v>Hedgecond1</v>
      </c>
    </row>
    <row r="157" spans="2:33" ht="28.5" x14ac:dyDescent="0.2">
      <c r="B157" s="110">
        <v>146</v>
      </c>
      <c r="C157" s="167" t="s">
        <v>1987</v>
      </c>
      <c r="D157" s="159" t="s">
        <v>171</v>
      </c>
      <c r="E157" s="139">
        <v>4.322043759471221E-2</v>
      </c>
      <c r="F157" s="411" t="str">
        <f>IF(D157="","",VLOOKUP(D157,'G-6 Hedgerow Data'!$B$2:$AG$15,2,FALSE))</f>
        <v>Medium</v>
      </c>
      <c r="G157" s="363">
        <f>IF(D157="","",VLOOKUP(D157,'G-6 Hedgerow Data'!$B$2:$AG$15,3,FALSE))</f>
        <v>4</v>
      </c>
      <c r="H157" s="114" t="s">
        <v>68</v>
      </c>
      <c r="I157" s="363">
        <f>IFERROR(VLOOKUP(H157,'G-1 All Habitats'!$Z$2:$AA$9,2,FALSE),"")</f>
        <v>3</v>
      </c>
      <c r="J157" s="114" t="s">
        <v>1037</v>
      </c>
      <c r="K157" s="382" t="str">
        <f>IF(J157="","",IF(VLOOKUP(J157,'G-3 Multipliers'!$L$3:$N$6,2,FALSE)=0,"Spatial Data Missing ⚠",VLOOKUP(J157,'G-3 Multipliers'!$L$3:$N$6,2,FALSE)))</f>
        <v>Low Strategic Significance</v>
      </c>
      <c r="L157" s="368">
        <f>IF(J157="","",IF(VLOOKUP(J157,'G-3 Multipliers'!$L$3:$N$6,3,FALSE)=0,"Spatial Data Missing ⚠",VLOOKUP(J157,'G-3 Multipliers'!$L$3:$N$6,3,FALSE)))</f>
        <v>1</v>
      </c>
      <c r="M157" s="362">
        <f>IF(OR(D157="",H157=""),"",(INDEX('G-6 Hedgerow Data'!$E$3:$I$15,MATCH(D157,'G-6 Hedgerow Data'!$B$3:$B$15,0),MATCH(H157,'G-6 Hedgerow Data'!$E$2:$I$2,0))))</f>
        <v>12</v>
      </c>
      <c r="N157" s="159"/>
      <c r="O157" s="159"/>
      <c r="P157" s="370" t="str">
        <f t="shared" si="13"/>
        <v>Standard time to target condition applied</v>
      </c>
      <c r="Q157" s="383">
        <f t="shared" si="14"/>
        <v>12</v>
      </c>
      <c r="R157" s="384">
        <f t="shared" si="12"/>
        <v>0.65212036070000001</v>
      </c>
      <c r="S157" s="398" t="str">
        <f>IF(D157="","",VLOOKUP(D157,'G-6 Hedgerow Data'!$B$3:$AG$15,31,FALSE))</f>
        <v>Low</v>
      </c>
      <c r="T157" s="370" t="str">
        <f t="shared" si="15"/>
        <v>Standard difficulty applied</v>
      </c>
      <c r="U157" s="370" t="str">
        <f t="shared" si="16"/>
        <v>Low</v>
      </c>
      <c r="V157" s="386">
        <f>IF(D157="","",VLOOKUP(S157,'G-3 Multipliers'!$P$3:$Q$6,2,FALSE))</f>
        <v>1</v>
      </c>
      <c r="W157" s="390">
        <f t="shared" si="17"/>
        <v>0.33821912824650679</v>
      </c>
      <c r="X157" s="117"/>
      <c r="Y157" s="118"/>
      <c r="Z157" s="120"/>
      <c r="AG157" s="30" t="str">
        <f>IFERROR(INDEX('G-6 Hedgerow Data'!$BJ$3:$BJ$15,MATCH(D157,'G-6 Hedgerow Data'!$B$3:$B$15,0)),"")</f>
        <v>Hedgecond1</v>
      </c>
    </row>
    <row r="158" spans="2:33" ht="28.5" x14ac:dyDescent="0.2">
      <c r="B158" s="110">
        <v>147</v>
      </c>
      <c r="C158" s="167" t="s">
        <v>1988</v>
      </c>
      <c r="D158" s="159" t="s">
        <v>171</v>
      </c>
      <c r="E158" s="139">
        <v>0.1043705520154892</v>
      </c>
      <c r="F158" s="411" t="str">
        <f>IF(D158="","",VLOOKUP(D158,'G-6 Hedgerow Data'!$B$2:$AG$15,2,FALSE))</f>
        <v>Medium</v>
      </c>
      <c r="G158" s="363">
        <f>IF(D158="","",VLOOKUP(D158,'G-6 Hedgerow Data'!$B$2:$AG$15,3,FALSE))</f>
        <v>4</v>
      </c>
      <c r="H158" s="114" t="s">
        <v>68</v>
      </c>
      <c r="I158" s="363">
        <f>IFERROR(VLOOKUP(H158,'G-1 All Habitats'!$Z$2:$AA$9,2,FALSE),"")</f>
        <v>3</v>
      </c>
      <c r="J158" s="114" t="s">
        <v>1029</v>
      </c>
      <c r="K158" s="382" t="str">
        <f>IF(J158="","",IF(VLOOKUP(J158,'G-3 Multipliers'!$L$3:$N$6,2,FALSE)=0,"Spatial Data Missing ⚠",VLOOKUP(J158,'G-3 Multipliers'!$L$3:$N$6,2,FALSE)))</f>
        <v xml:space="preserve">High strategic significance </v>
      </c>
      <c r="L158" s="368">
        <f>IF(J158="","",IF(VLOOKUP(J158,'G-3 Multipliers'!$L$3:$N$6,3,FALSE)=0,"Spatial Data Missing ⚠",VLOOKUP(J158,'G-3 Multipliers'!$L$3:$N$6,3,FALSE)))</f>
        <v>1.1499999999999999</v>
      </c>
      <c r="M158" s="362">
        <f>IF(OR(D158="",H158=""),"",(INDEX('G-6 Hedgerow Data'!$E$3:$I$15,MATCH(D158,'G-6 Hedgerow Data'!$B$3:$B$15,0),MATCH(H158,'G-6 Hedgerow Data'!$E$2:$I$2,0))))</f>
        <v>12</v>
      </c>
      <c r="N158" s="159"/>
      <c r="O158" s="159"/>
      <c r="P158" s="370" t="str">
        <f t="shared" si="13"/>
        <v>Standard time to target condition applied</v>
      </c>
      <c r="Q158" s="383">
        <f t="shared" si="14"/>
        <v>12</v>
      </c>
      <c r="R158" s="384">
        <f t="shared" si="12"/>
        <v>0.65212036070000001</v>
      </c>
      <c r="S158" s="398" t="str">
        <f>IF(D158="","",VLOOKUP(D158,'G-6 Hedgerow Data'!$B$3:$AG$15,31,FALSE))</f>
        <v>Low</v>
      </c>
      <c r="T158" s="370" t="str">
        <f t="shared" si="15"/>
        <v>Standard difficulty applied</v>
      </c>
      <c r="U158" s="370" t="str">
        <f t="shared" si="16"/>
        <v>Low</v>
      </c>
      <c r="V158" s="386">
        <f>IF(D158="","",VLOOKUP(S158,'G-3 Multipliers'!$P$3:$Q$6,2,FALSE))</f>
        <v>1</v>
      </c>
      <c r="W158" s="390">
        <f t="shared" si="17"/>
        <v>0.93925783596982526</v>
      </c>
      <c r="X158" s="117"/>
      <c r="Y158" s="118"/>
      <c r="Z158" s="120"/>
      <c r="AG158" s="30" t="str">
        <f>IFERROR(INDEX('G-6 Hedgerow Data'!$BJ$3:$BJ$15,MATCH(D158,'G-6 Hedgerow Data'!$B$3:$B$15,0)),"")</f>
        <v>Hedgecond1</v>
      </c>
    </row>
    <row r="159" spans="2:33" ht="28.5" x14ac:dyDescent="0.2">
      <c r="B159" s="110">
        <v>148</v>
      </c>
      <c r="C159" s="167" t="s">
        <v>1989</v>
      </c>
      <c r="D159" s="159" t="s">
        <v>171</v>
      </c>
      <c r="E159" s="139">
        <v>0.12598878187287729</v>
      </c>
      <c r="F159" s="411" t="str">
        <f>IF(D159="","",VLOOKUP(D159,'G-6 Hedgerow Data'!$B$2:$AG$15,2,FALSE))</f>
        <v>Medium</v>
      </c>
      <c r="G159" s="363">
        <f>IF(D159="","",VLOOKUP(D159,'G-6 Hedgerow Data'!$B$2:$AG$15,3,FALSE))</f>
        <v>4</v>
      </c>
      <c r="H159" s="114" t="s">
        <v>68</v>
      </c>
      <c r="I159" s="363">
        <f>IFERROR(VLOOKUP(H159,'G-1 All Habitats'!$Z$2:$AA$9,2,FALSE),"")</f>
        <v>3</v>
      </c>
      <c r="J159" s="114" t="s">
        <v>1037</v>
      </c>
      <c r="K159" s="382" t="str">
        <f>IF(J159="","",IF(VLOOKUP(J159,'G-3 Multipliers'!$L$3:$N$6,2,FALSE)=0,"Spatial Data Missing ⚠",VLOOKUP(J159,'G-3 Multipliers'!$L$3:$N$6,2,FALSE)))</f>
        <v>Low Strategic Significance</v>
      </c>
      <c r="L159" s="368">
        <f>IF(J159="","",IF(VLOOKUP(J159,'G-3 Multipliers'!$L$3:$N$6,3,FALSE)=0,"Spatial Data Missing ⚠",VLOOKUP(J159,'G-3 Multipliers'!$L$3:$N$6,3,FALSE)))</f>
        <v>1</v>
      </c>
      <c r="M159" s="362">
        <f>IF(OR(D159="",H159=""),"",(INDEX('G-6 Hedgerow Data'!$E$3:$I$15,MATCH(D159,'G-6 Hedgerow Data'!$B$3:$B$15,0),MATCH(H159,'G-6 Hedgerow Data'!$E$2:$I$2,0))))</f>
        <v>12</v>
      </c>
      <c r="N159" s="159"/>
      <c r="O159" s="159"/>
      <c r="P159" s="370" t="str">
        <f t="shared" si="13"/>
        <v>Standard time to target condition applied</v>
      </c>
      <c r="Q159" s="383">
        <f t="shared" si="14"/>
        <v>12</v>
      </c>
      <c r="R159" s="384">
        <f t="shared" si="12"/>
        <v>0.65212036070000001</v>
      </c>
      <c r="S159" s="398" t="str">
        <f>IF(D159="","",VLOOKUP(D159,'G-6 Hedgerow Data'!$B$3:$AG$15,31,FALSE))</f>
        <v>Low</v>
      </c>
      <c r="T159" s="370" t="str">
        <f t="shared" si="15"/>
        <v>Standard difficulty applied</v>
      </c>
      <c r="U159" s="370" t="str">
        <f t="shared" si="16"/>
        <v>Low</v>
      </c>
      <c r="V159" s="386">
        <f>IF(D159="","",VLOOKUP(S159,'G-3 Multipliers'!$P$3:$Q$6,2,FALSE))</f>
        <v>1</v>
      </c>
      <c r="W159" s="390">
        <f t="shared" si="17"/>
        <v>0.98591819854913232</v>
      </c>
      <c r="X159" s="117"/>
      <c r="Y159" s="118"/>
      <c r="Z159" s="120"/>
      <c r="AG159" s="30" t="str">
        <f>IFERROR(INDEX('G-6 Hedgerow Data'!$BJ$3:$BJ$15,MATCH(D159,'G-6 Hedgerow Data'!$B$3:$B$15,0)),"")</f>
        <v>Hedgecond1</v>
      </c>
    </row>
    <row r="160" spans="2:33" ht="28.5" x14ac:dyDescent="0.2">
      <c r="B160" s="110">
        <v>149</v>
      </c>
      <c r="C160" s="167" t="s">
        <v>1990</v>
      </c>
      <c r="D160" s="159" t="s">
        <v>171</v>
      </c>
      <c r="E160" s="139">
        <v>0.2148551325083716</v>
      </c>
      <c r="F160" s="411" t="str">
        <f>IF(D160="","",VLOOKUP(D160,'G-6 Hedgerow Data'!$B$2:$AG$15,2,FALSE))</f>
        <v>Medium</v>
      </c>
      <c r="G160" s="363">
        <f>IF(D160="","",VLOOKUP(D160,'G-6 Hedgerow Data'!$B$2:$AG$15,3,FALSE))</f>
        <v>4</v>
      </c>
      <c r="H160" s="114" t="s">
        <v>68</v>
      </c>
      <c r="I160" s="363">
        <f>IFERROR(VLOOKUP(H160,'G-1 All Habitats'!$Z$2:$AA$9,2,FALSE),"")</f>
        <v>3</v>
      </c>
      <c r="J160" s="114" t="s">
        <v>1029</v>
      </c>
      <c r="K160" s="382" t="str">
        <f>IF(J160="","",IF(VLOOKUP(J160,'G-3 Multipliers'!$L$3:$N$6,2,FALSE)=0,"Spatial Data Missing ⚠",VLOOKUP(J160,'G-3 Multipliers'!$L$3:$N$6,2,FALSE)))</f>
        <v xml:space="preserve">High strategic significance </v>
      </c>
      <c r="L160" s="368">
        <f>IF(J160="","",IF(VLOOKUP(J160,'G-3 Multipliers'!$L$3:$N$6,3,FALSE)=0,"Spatial Data Missing ⚠",VLOOKUP(J160,'G-3 Multipliers'!$L$3:$N$6,3,FALSE)))</f>
        <v>1.1499999999999999</v>
      </c>
      <c r="M160" s="362">
        <f>IF(OR(D160="",H160=""),"",(INDEX('G-6 Hedgerow Data'!$E$3:$I$15,MATCH(D160,'G-6 Hedgerow Data'!$B$3:$B$15,0),MATCH(H160,'G-6 Hedgerow Data'!$E$2:$I$2,0))))</f>
        <v>12</v>
      </c>
      <c r="N160" s="159"/>
      <c r="O160" s="159"/>
      <c r="P160" s="370" t="str">
        <f t="shared" si="13"/>
        <v>Standard time to target condition applied</v>
      </c>
      <c r="Q160" s="383">
        <f t="shared" si="14"/>
        <v>12</v>
      </c>
      <c r="R160" s="384">
        <f t="shared" si="12"/>
        <v>0.65212036070000001</v>
      </c>
      <c r="S160" s="398" t="str">
        <f>IF(D160="","",VLOOKUP(D160,'G-6 Hedgerow Data'!$B$3:$AG$15,31,FALSE))</f>
        <v>Low</v>
      </c>
      <c r="T160" s="370" t="str">
        <f t="shared" si="15"/>
        <v>Standard difficulty applied</v>
      </c>
      <c r="U160" s="370" t="str">
        <f t="shared" si="16"/>
        <v>Low</v>
      </c>
      <c r="V160" s="386">
        <f>IF(D160="","",VLOOKUP(S160,'G-3 Multipliers'!$P$3:$Q$6,2,FALSE))</f>
        <v>1</v>
      </c>
      <c r="W160" s="390">
        <f t="shared" si="17"/>
        <v>1.9335374098325568</v>
      </c>
      <c r="X160" s="117"/>
      <c r="Y160" s="118"/>
      <c r="Z160" s="120"/>
      <c r="AG160" s="30" t="str">
        <f>IFERROR(INDEX('G-6 Hedgerow Data'!$BJ$3:$BJ$15,MATCH(D160,'G-6 Hedgerow Data'!$B$3:$B$15,0)),"")</f>
        <v>Hedgecond1</v>
      </c>
    </row>
    <row r="161" spans="2:33" ht="28.5" x14ac:dyDescent="0.2">
      <c r="B161" s="110">
        <v>150</v>
      </c>
      <c r="C161" s="167" t="s">
        <v>1991</v>
      </c>
      <c r="D161" s="159" t="s">
        <v>171</v>
      </c>
      <c r="E161" s="139">
        <v>0.19000909012927214</v>
      </c>
      <c r="F161" s="411" t="str">
        <f>IF(D161="","",VLOOKUP(D161,'G-6 Hedgerow Data'!$B$2:$AG$15,2,FALSE))</f>
        <v>Medium</v>
      </c>
      <c r="G161" s="363">
        <f>IF(D161="","",VLOOKUP(D161,'G-6 Hedgerow Data'!$B$2:$AG$15,3,FALSE))</f>
        <v>4</v>
      </c>
      <c r="H161" s="114" t="s">
        <v>68</v>
      </c>
      <c r="I161" s="363">
        <f>IFERROR(VLOOKUP(H161,'G-1 All Habitats'!$Z$2:$AA$9,2,FALSE),"")</f>
        <v>3</v>
      </c>
      <c r="J161" s="114" t="s">
        <v>1037</v>
      </c>
      <c r="K161" s="382" t="str">
        <f>IF(J161="","",IF(VLOOKUP(J161,'G-3 Multipliers'!$L$3:$N$6,2,FALSE)=0,"Spatial Data Missing ⚠",VLOOKUP(J161,'G-3 Multipliers'!$L$3:$N$6,2,FALSE)))</f>
        <v>Low Strategic Significance</v>
      </c>
      <c r="L161" s="368">
        <f>IF(J161="","",IF(VLOOKUP(J161,'G-3 Multipliers'!$L$3:$N$6,3,FALSE)=0,"Spatial Data Missing ⚠",VLOOKUP(J161,'G-3 Multipliers'!$L$3:$N$6,3,FALSE)))</f>
        <v>1</v>
      </c>
      <c r="M161" s="362">
        <f>IF(OR(D161="",H161=""),"",(INDEX('G-6 Hedgerow Data'!$E$3:$I$15,MATCH(D161,'G-6 Hedgerow Data'!$B$3:$B$15,0),MATCH(H161,'G-6 Hedgerow Data'!$E$2:$I$2,0))))</f>
        <v>12</v>
      </c>
      <c r="N161" s="159"/>
      <c r="O161" s="159"/>
      <c r="P161" s="370" t="str">
        <f t="shared" si="13"/>
        <v>Standard time to target condition applied</v>
      </c>
      <c r="Q161" s="383">
        <f t="shared" si="14"/>
        <v>12</v>
      </c>
      <c r="R161" s="384">
        <f t="shared" si="12"/>
        <v>0.65212036070000001</v>
      </c>
      <c r="S161" s="398" t="str">
        <f>IF(D161="","",VLOOKUP(D161,'G-6 Hedgerow Data'!$B$3:$AG$15,31,FALSE))</f>
        <v>Low</v>
      </c>
      <c r="T161" s="370" t="str">
        <f t="shared" si="15"/>
        <v>Standard difficulty applied</v>
      </c>
      <c r="U161" s="370" t="str">
        <f t="shared" si="16"/>
        <v>Low</v>
      </c>
      <c r="V161" s="386">
        <f>IF(D161="","",VLOOKUP(S161,'G-3 Multipliers'!$P$3:$Q$6,2,FALSE))</f>
        <v>1</v>
      </c>
      <c r="W161" s="390">
        <f t="shared" si="17"/>
        <v>1.4869055566965572</v>
      </c>
      <c r="X161" s="117"/>
      <c r="Y161" s="118"/>
      <c r="Z161" s="120"/>
      <c r="AG161" s="30" t="str">
        <f>IFERROR(INDEX('G-6 Hedgerow Data'!$BJ$3:$BJ$15,MATCH(D161,'G-6 Hedgerow Data'!$B$3:$B$15,0)),"")</f>
        <v>Hedgecond1</v>
      </c>
    </row>
    <row r="162" spans="2:33" ht="28.5" x14ac:dyDescent="0.2">
      <c r="B162" s="110">
        <v>151</v>
      </c>
      <c r="C162" s="167" t="s">
        <v>1992</v>
      </c>
      <c r="D162" s="159" t="s">
        <v>171</v>
      </c>
      <c r="E162" s="139">
        <v>8.8463643152486643E-2</v>
      </c>
      <c r="F162" s="411" t="str">
        <f>IF(D162="","",VLOOKUP(D162,'G-6 Hedgerow Data'!$B$2:$AG$15,2,FALSE))</f>
        <v>Medium</v>
      </c>
      <c r="G162" s="363">
        <f>IF(D162="","",VLOOKUP(D162,'G-6 Hedgerow Data'!$B$2:$AG$15,3,FALSE))</f>
        <v>4</v>
      </c>
      <c r="H162" s="114" t="s">
        <v>68</v>
      </c>
      <c r="I162" s="363">
        <f>IFERROR(VLOOKUP(H162,'G-1 All Habitats'!$Z$2:$AA$9,2,FALSE),"")</f>
        <v>3</v>
      </c>
      <c r="J162" s="114" t="s">
        <v>1029</v>
      </c>
      <c r="K162" s="382" t="str">
        <f>IF(J162="","",IF(VLOOKUP(J162,'G-3 Multipliers'!$L$3:$N$6,2,FALSE)=0,"Spatial Data Missing ⚠",VLOOKUP(J162,'G-3 Multipliers'!$L$3:$N$6,2,FALSE)))</f>
        <v xml:space="preserve">High strategic significance </v>
      </c>
      <c r="L162" s="368">
        <f>IF(J162="","",IF(VLOOKUP(J162,'G-3 Multipliers'!$L$3:$N$6,3,FALSE)=0,"Spatial Data Missing ⚠",VLOOKUP(J162,'G-3 Multipliers'!$L$3:$N$6,3,FALSE)))</f>
        <v>1.1499999999999999</v>
      </c>
      <c r="M162" s="362">
        <f>IF(OR(D162="",H162=""),"",(INDEX('G-6 Hedgerow Data'!$E$3:$I$15,MATCH(D162,'G-6 Hedgerow Data'!$B$3:$B$15,0),MATCH(H162,'G-6 Hedgerow Data'!$E$2:$I$2,0))))</f>
        <v>12</v>
      </c>
      <c r="N162" s="159"/>
      <c r="O162" s="159"/>
      <c r="P162" s="370" t="str">
        <f t="shared" si="13"/>
        <v>Standard time to target condition applied</v>
      </c>
      <c r="Q162" s="383">
        <f t="shared" si="14"/>
        <v>12</v>
      </c>
      <c r="R162" s="384">
        <f t="shared" si="12"/>
        <v>0.65212036070000001</v>
      </c>
      <c r="S162" s="398" t="str">
        <f>IF(D162="","",VLOOKUP(D162,'G-6 Hedgerow Data'!$B$3:$AG$15,31,FALSE))</f>
        <v>Low</v>
      </c>
      <c r="T162" s="370" t="str">
        <f t="shared" si="15"/>
        <v>Standard difficulty applied</v>
      </c>
      <c r="U162" s="370" t="str">
        <f t="shared" si="16"/>
        <v>Low</v>
      </c>
      <c r="V162" s="386">
        <f>IF(D162="","",VLOOKUP(S162,'G-3 Multipliers'!$P$3:$Q$6,2,FALSE))</f>
        <v>1</v>
      </c>
      <c r="W162" s="390">
        <f t="shared" si="17"/>
        <v>0.79610741176381217</v>
      </c>
      <c r="X162" s="117"/>
      <c r="Y162" s="118"/>
      <c r="Z162" s="120"/>
      <c r="AG162" s="30" t="str">
        <f>IFERROR(INDEX('G-6 Hedgerow Data'!$BJ$3:$BJ$15,MATCH(D162,'G-6 Hedgerow Data'!$B$3:$B$15,0)),"")</f>
        <v>Hedgecond1</v>
      </c>
    </row>
    <row r="163" spans="2:33" ht="28.5" x14ac:dyDescent="0.2">
      <c r="B163" s="110">
        <v>152</v>
      </c>
      <c r="C163" s="167" t="s">
        <v>1993</v>
      </c>
      <c r="D163" s="159" t="s">
        <v>171</v>
      </c>
      <c r="E163" s="139">
        <v>7.8100000042471149E-4</v>
      </c>
      <c r="F163" s="411" t="str">
        <f>IF(D163="","",VLOOKUP(D163,'G-6 Hedgerow Data'!$B$2:$AG$15,2,FALSE))</f>
        <v>Medium</v>
      </c>
      <c r="G163" s="363">
        <f>IF(D163="","",VLOOKUP(D163,'G-6 Hedgerow Data'!$B$2:$AG$15,3,FALSE))</f>
        <v>4</v>
      </c>
      <c r="H163" s="114" t="s">
        <v>68</v>
      </c>
      <c r="I163" s="363">
        <f>IFERROR(VLOOKUP(H163,'G-1 All Habitats'!$Z$2:$AA$9,2,FALSE),"")</f>
        <v>3</v>
      </c>
      <c r="J163" s="114" t="s">
        <v>1037</v>
      </c>
      <c r="K163" s="382" t="str">
        <f>IF(J163="","",IF(VLOOKUP(J163,'G-3 Multipliers'!$L$3:$N$6,2,FALSE)=0,"Spatial Data Missing ⚠",VLOOKUP(J163,'G-3 Multipliers'!$L$3:$N$6,2,FALSE)))</f>
        <v>Low Strategic Significance</v>
      </c>
      <c r="L163" s="368">
        <f>IF(J163="","",IF(VLOOKUP(J163,'G-3 Multipliers'!$L$3:$N$6,3,FALSE)=0,"Spatial Data Missing ⚠",VLOOKUP(J163,'G-3 Multipliers'!$L$3:$N$6,3,FALSE)))</f>
        <v>1</v>
      </c>
      <c r="M163" s="362">
        <f>IF(OR(D163="",H163=""),"",(INDEX('G-6 Hedgerow Data'!$E$3:$I$15,MATCH(D163,'G-6 Hedgerow Data'!$B$3:$B$15,0),MATCH(H163,'G-6 Hedgerow Data'!$E$2:$I$2,0))))</f>
        <v>12</v>
      </c>
      <c r="N163" s="159"/>
      <c r="O163" s="159"/>
      <c r="P163" s="370" t="str">
        <f t="shared" si="13"/>
        <v>Standard time to target condition applied</v>
      </c>
      <c r="Q163" s="383">
        <f t="shared" si="14"/>
        <v>12</v>
      </c>
      <c r="R163" s="384">
        <f t="shared" si="12"/>
        <v>0.65212036070000001</v>
      </c>
      <c r="S163" s="398" t="str">
        <f>IF(D163="","",VLOOKUP(D163,'G-6 Hedgerow Data'!$B$3:$AG$15,31,FALSE))</f>
        <v>Low</v>
      </c>
      <c r="T163" s="370" t="str">
        <f t="shared" si="15"/>
        <v>Standard difficulty applied</v>
      </c>
      <c r="U163" s="370" t="str">
        <f t="shared" si="16"/>
        <v>Low</v>
      </c>
      <c r="V163" s="386">
        <f>IF(D163="","",VLOOKUP(S163,'G-3 Multipliers'!$P$3:$Q$6,2,FALSE))</f>
        <v>1</v>
      </c>
      <c r="W163" s="390">
        <f t="shared" si="17"/>
        <v>6.1116720238039565E-3</v>
      </c>
      <c r="X163" s="117"/>
      <c r="Y163" s="118"/>
      <c r="Z163" s="120"/>
      <c r="AG163" s="30" t="str">
        <f>IFERROR(INDEX('G-6 Hedgerow Data'!$BJ$3:$BJ$15,MATCH(D163,'G-6 Hedgerow Data'!$B$3:$B$15,0)),"")</f>
        <v>Hedgecond1</v>
      </c>
    </row>
    <row r="164" spans="2:33" ht="28.5" x14ac:dyDescent="0.2">
      <c r="B164" s="110">
        <v>153</v>
      </c>
      <c r="C164" s="167" t="s">
        <v>1994</v>
      </c>
      <c r="D164" s="159" t="s">
        <v>171</v>
      </c>
      <c r="E164" s="139">
        <v>0.23408160000015049</v>
      </c>
      <c r="F164" s="411" t="str">
        <f>IF(D164="","",VLOOKUP(D164,'G-6 Hedgerow Data'!$B$2:$AG$15,2,FALSE))</f>
        <v>Medium</v>
      </c>
      <c r="G164" s="363">
        <f>IF(D164="","",VLOOKUP(D164,'G-6 Hedgerow Data'!$B$2:$AG$15,3,FALSE))</f>
        <v>4</v>
      </c>
      <c r="H164" s="114" t="s">
        <v>68</v>
      </c>
      <c r="I164" s="363">
        <f>IFERROR(VLOOKUP(H164,'G-1 All Habitats'!$Z$2:$AA$9,2,FALSE),"")</f>
        <v>3</v>
      </c>
      <c r="J164" s="114" t="s">
        <v>1029</v>
      </c>
      <c r="K164" s="382" t="str">
        <f>IF(J164="","",IF(VLOOKUP(J164,'G-3 Multipliers'!$L$3:$N$6,2,FALSE)=0,"Spatial Data Missing ⚠",VLOOKUP(J164,'G-3 Multipliers'!$L$3:$N$6,2,FALSE)))</f>
        <v xml:space="preserve">High strategic significance </v>
      </c>
      <c r="L164" s="368">
        <f>IF(J164="","",IF(VLOOKUP(J164,'G-3 Multipliers'!$L$3:$N$6,3,FALSE)=0,"Spatial Data Missing ⚠",VLOOKUP(J164,'G-3 Multipliers'!$L$3:$N$6,3,FALSE)))</f>
        <v>1.1499999999999999</v>
      </c>
      <c r="M164" s="362">
        <f>IF(OR(D164="",H164=""),"",(INDEX('G-6 Hedgerow Data'!$E$3:$I$15,MATCH(D164,'G-6 Hedgerow Data'!$B$3:$B$15,0),MATCH(H164,'G-6 Hedgerow Data'!$E$2:$I$2,0))))</f>
        <v>12</v>
      </c>
      <c r="N164" s="159"/>
      <c r="O164" s="159"/>
      <c r="P164" s="370" t="str">
        <f t="shared" si="13"/>
        <v>Standard time to target condition applied</v>
      </c>
      <c r="Q164" s="383">
        <f t="shared" si="14"/>
        <v>12</v>
      </c>
      <c r="R164" s="384">
        <f t="shared" si="12"/>
        <v>0.65212036070000001</v>
      </c>
      <c r="S164" s="398" t="str">
        <f>IF(D164="","",VLOOKUP(D164,'G-6 Hedgerow Data'!$B$3:$AG$15,31,FALSE))</f>
        <v>Low</v>
      </c>
      <c r="T164" s="370" t="str">
        <f t="shared" si="15"/>
        <v>Standard difficulty applied</v>
      </c>
      <c r="U164" s="370" t="str">
        <f t="shared" si="16"/>
        <v>Low</v>
      </c>
      <c r="V164" s="386">
        <f>IF(D164="","",VLOOKUP(S164,'G-3 Multipliers'!$P$3:$Q$6,2,FALSE))</f>
        <v>1</v>
      </c>
      <c r="W164" s="390">
        <f t="shared" si="17"/>
        <v>2.1065614084695712</v>
      </c>
      <c r="X164" s="117"/>
      <c r="Y164" s="118"/>
      <c r="Z164" s="120"/>
      <c r="AG164" s="30" t="str">
        <f>IFERROR(INDEX('G-6 Hedgerow Data'!$BJ$3:$BJ$15,MATCH(D164,'G-6 Hedgerow Data'!$B$3:$B$15,0)),"")</f>
        <v>Hedgecond1</v>
      </c>
    </row>
    <row r="165" spans="2:33" ht="14.25" x14ac:dyDescent="0.2">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4.25" x14ac:dyDescent="0.2">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4.25" x14ac:dyDescent="0.2">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4.25" x14ac:dyDescent="0.2">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4.25" x14ac:dyDescent="0.2">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4.25" x14ac:dyDescent="0.2">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4.25" x14ac:dyDescent="0.2">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4.25" x14ac:dyDescent="0.2">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4.25" x14ac:dyDescent="0.2">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4.25" x14ac:dyDescent="0.2">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4.25" x14ac:dyDescent="0.2">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4.25" x14ac:dyDescent="0.2">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4.25" x14ac:dyDescent="0.2">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4.25" x14ac:dyDescent="0.2">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4.25" x14ac:dyDescent="0.2">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4.25" x14ac:dyDescent="0.2">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4.25" x14ac:dyDescent="0.2">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4.25" x14ac:dyDescent="0.2">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4.25" x14ac:dyDescent="0.2">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4.25" x14ac:dyDescent="0.2">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4.25" x14ac:dyDescent="0.2">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4.25" x14ac:dyDescent="0.2">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4.25" x14ac:dyDescent="0.2">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4.25" x14ac:dyDescent="0.2">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4.25" x14ac:dyDescent="0.2">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4.25" x14ac:dyDescent="0.2">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4.25" x14ac:dyDescent="0.2">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4.25" x14ac:dyDescent="0.2">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4.25" x14ac:dyDescent="0.2">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4.25" x14ac:dyDescent="0.2">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4.25" x14ac:dyDescent="0.2">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4.25" x14ac:dyDescent="0.2">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4.25" x14ac:dyDescent="0.2">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4.25" x14ac:dyDescent="0.2">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4.25" x14ac:dyDescent="0.2">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4.25" x14ac:dyDescent="0.2">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4.25" x14ac:dyDescent="0.2">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4.25" x14ac:dyDescent="0.2">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4.25" x14ac:dyDescent="0.2">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4.25" x14ac:dyDescent="0.2">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4.25" x14ac:dyDescent="0.2">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4.25" x14ac:dyDescent="0.2">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4.25" x14ac:dyDescent="0.2">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4.25" x14ac:dyDescent="0.2">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4.25" x14ac:dyDescent="0.2">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4.25" x14ac:dyDescent="0.2">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4.25" x14ac:dyDescent="0.2">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4.25" x14ac:dyDescent="0.2">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4.25" x14ac:dyDescent="0.2">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4.25" x14ac:dyDescent="0.2">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4.25" x14ac:dyDescent="0.2">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4.25" x14ac:dyDescent="0.2">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4.25" x14ac:dyDescent="0.2">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4.25" x14ac:dyDescent="0.2">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4.25" x14ac:dyDescent="0.2">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4.25" x14ac:dyDescent="0.2">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4.25" x14ac:dyDescent="0.2">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4.25" x14ac:dyDescent="0.2">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4.25" x14ac:dyDescent="0.2">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4.25" x14ac:dyDescent="0.2">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4.25" x14ac:dyDescent="0.2">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4.25" x14ac:dyDescent="0.2">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4.25" x14ac:dyDescent="0.2">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4.25" x14ac:dyDescent="0.2">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4.25" x14ac:dyDescent="0.2">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4.25" x14ac:dyDescent="0.2">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4.25" x14ac:dyDescent="0.2">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4.25" x14ac:dyDescent="0.2">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4.25" x14ac:dyDescent="0.2">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4.25" x14ac:dyDescent="0.2">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4.25" x14ac:dyDescent="0.2">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4.25" x14ac:dyDescent="0.2">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4.25" x14ac:dyDescent="0.2">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4.25" x14ac:dyDescent="0.2">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4.25" x14ac:dyDescent="0.2">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4.25" x14ac:dyDescent="0.2">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4.25" x14ac:dyDescent="0.2">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4.25" x14ac:dyDescent="0.2">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4.25" x14ac:dyDescent="0.2">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4.25" x14ac:dyDescent="0.2">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4.25" x14ac:dyDescent="0.2">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4.25" x14ac:dyDescent="0.2">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4.25" x14ac:dyDescent="0.2">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4.25" x14ac:dyDescent="0.2">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4.25" x14ac:dyDescent="0.2">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4.25" x14ac:dyDescent="0.2">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4.25" x14ac:dyDescent="0.2">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4.25" x14ac:dyDescent="0.2">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4.25" x14ac:dyDescent="0.2">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4.25" x14ac:dyDescent="0.2">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4.25" x14ac:dyDescent="0.2">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4.25" x14ac:dyDescent="0.2">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4.25" x14ac:dyDescent="0.2">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4.25" x14ac:dyDescent="0.2">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 thickBot="1" x14ac:dyDescent="0.25">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x14ac:dyDescent="0.25">
      <c r="B260" s="34"/>
      <c r="C260" s="34"/>
      <c r="D260" s="223"/>
      <c r="E260" s="366">
        <f>SUM(E12:E259)</f>
        <v>30.537781653939909</v>
      </c>
      <c r="F260" s="34"/>
      <c r="G260" s="34"/>
      <c r="H260" s="34"/>
      <c r="I260" s="34"/>
      <c r="J260" s="34"/>
      <c r="K260" s="34"/>
      <c r="L260" s="34"/>
      <c r="M260" s="34"/>
      <c r="N260" s="34"/>
      <c r="O260" s="34"/>
      <c r="P260" s="34"/>
      <c r="Q260" s="34"/>
      <c r="R260" s="34"/>
      <c r="S260" s="34"/>
      <c r="T260" s="34"/>
      <c r="U260" s="1583"/>
      <c r="V260" s="1584"/>
      <c r="W260" s="366">
        <f>SUM(W12:W259)</f>
        <v>239.86759776163626</v>
      </c>
      <c r="X260" s="34"/>
      <c r="Y260" s="34"/>
    </row>
    <row r="261" spans="2:33" ht="28.9" customHeight="1" x14ac:dyDescent="0.2">
      <c r="E261" s="1582"/>
      <c r="F261" s="1582"/>
      <c r="G261" s="1582"/>
      <c r="H261" s="1582"/>
      <c r="I261" s="1582"/>
      <c r="J261" s="1582"/>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ImmbAZe7AJ/3SF91L21J/Dk6FVlC9El0z/FmUsFhjWgxCwcWojIfD6YUqT9yxYLm98TZzyIWHzFMgn7/Io7Zjw==" saltValue="jyMdK/j5AWyAeaZ4J/0XU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E261:J261">
    <cfRule type="containsText" dxfId="293" priority="15" operator="containsText" text="Check">
      <formula>NOT(ISERROR(SEARCH("Check",E261)))</formula>
    </cfRule>
  </conditionalFormatting>
  <conditionalFormatting sqref="I3:I4">
    <cfRule type="containsText" dxfId="292" priority="2" operator="containsText" text="Error">
      <formula>NOT(ISERROR(SEARCH("Error",I3)))</formula>
    </cfRule>
    <cfRule type="containsText" dxfId="291" priority="3" operator="containsText" text="Check">
      <formula>NOT(ISERROR(SEARCH("Check",I3)))</formula>
    </cfRule>
  </conditionalFormatting>
  <conditionalFormatting sqref="I5">
    <cfRule type="containsText" dxfId="290" priority="6" operator="containsText" text="No">
      <formula>NOT(ISERROR(SEARCH("No",I5)))</formula>
    </cfRule>
    <cfRule type="containsText" dxfId="289" priority="7" operator="containsText" text="Yes">
      <formula>NOT(ISERROR(SEARCH("Yes",I5)))</formula>
    </cfRule>
  </conditionalFormatting>
  <conditionalFormatting sqref="I12:I259">
    <cfRule type="containsText" dxfId="288" priority="5" operator="containsText" text="Not possible">
      <formula>NOT(ISERROR(SEARCH("Not possible",I12)))</formula>
    </cfRule>
  </conditionalFormatting>
  <conditionalFormatting sqref="I4:J4">
    <cfRule type="cellIs" dxfId="287" priority="1" operator="equal">
      <formula>0</formula>
    </cfRule>
    <cfRule type="cellIs" dxfId="286" priority="4" operator="lessThan">
      <formula>0</formula>
    </cfRule>
  </conditionalFormatting>
  <conditionalFormatting sqref="K12:L259">
    <cfRule type="containsText" dxfId="283" priority="23" operator="containsText" text="Spatial">
      <formula>NOT(ISERROR(SEARCH("Spatial",K12)))</formula>
    </cfRule>
  </conditionalFormatting>
  <conditionalFormatting sqref="M3 M6:Q7">
    <cfRule type="containsText" dxfId="282" priority="22" operator="containsText" text="Note">
      <formula>NOT(ISERROR(SEARCH("Note",M3)))</formula>
    </cfRule>
  </conditionalFormatting>
  <conditionalFormatting sqref="P12:P259">
    <cfRule type="containsText" dxfId="281" priority="20" operator="containsText" text="Check">
      <formula>NOT(ISERROR(SEARCH("Check",P12)))</formula>
    </cfRule>
    <cfRule type="containsText" dxfId="280" priority="21" operator="containsText" text="Error">
      <formula>NOT(ISERROR(SEARCH("Error",P12)))</formula>
    </cfRule>
  </conditionalFormatting>
  <conditionalFormatting sqref="Q12:Q259">
    <cfRule type="containsText" dxfId="279" priority="14" operator="containsText" text="30+">
      <formula>NOT(ISERROR(SEARCH("30+",Q12)))</formula>
    </cfRule>
  </conditionalFormatting>
  <conditionalFormatting sqref="Q12:R259">
    <cfRule type="containsText" dxfId="278" priority="18" operator="containsText" text="Check">
      <formula>NOT(ISERROR(SEARCH("Check",Q12)))</formula>
    </cfRule>
  </conditionalFormatting>
  <conditionalFormatting sqref="T12:T259">
    <cfRule type="containsText" dxfId="277" priority="16" operator="containsText" text="No - Low Difficulty">
      <formula>NOT(ISERROR(SEARCH("No - Low Difficulty",T12)))</formula>
    </cfRule>
    <cfRule type="containsText" dxfId="276" priority="17" operator="containsText" text="Check">
      <formula>NOT(ISERROR(SEARCH("Check",T12)))</formula>
    </cfRule>
  </conditionalFormatting>
  <conditionalFormatting sqref="W12:W259">
    <cfRule type="containsText" dxfId="275" priority="25" operator="containsText" text="Existing Value Not Required">
      <formula>NOT(ISERROR(SEARCH("Existing Value Not Required",W12)))</formula>
    </cfRule>
    <cfRule type="containsText" dxfId="274" priority="26" operator="containsText" text="Existing Value Required">
      <formula>NOT(ISERROR(SEARCH("Existing Value Required",W12)))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5" operator="lessThan" id="{96391D0B-65D4-461C-B97E-32341A4ADCD7}">
            <xm:f>Start!$F$22</xm:f>
            <x14:dxf>
              <font>
                <color rgb="FF383745"/>
              </font>
              <fill>
                <patternFill>
                  <bgColor rgb="FFFFC000"/>
                </patternFill>
              </fill>
            </x14:dxf>
          </x14:cfRule>
          <x14:cfRule type="cellIs" priority="436"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topLeftCell="S1" zoomScale="55" zoomScaleNormal="55" workbookViewId="0">
      <pane ySplit="11" topLeftCell="A226" activePane="bottomLeft" state="frozen"/>
      <selection pane="bottomLeft" activeCell="AH266" sqref="AH266"/>
    </sheetView>
  </sheetViews>
  <sheetFormatPr defaultColWidth="0" defaultRowHeight="0" customHeight="1" zeroHeight="1" x14ac:dyDescent="0.2"/>
  <cols>
    <col min="1" max="1" width="2.855468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140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140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85546875" style="30" customWidth="1"/>
    <col min="25" max="25" width="21.7109375" style="30" customWidth="1"/>
    <col min="26" max="26" width="22.85546875" style="30" customWidth="1"/>
    <col min="27" max="27" width="33.5703125" style="30" customWidth="1"/>
    <col min="28" max="28" width="18.85546875" style="30" customWidth="1"/>
    <col min="29" max="29" width="15.28515625" style="30" customWidth="1"/>
    <col min="30" max="30" width="15.7109375" style="30" customWidth="1"/>
    <col min="31" max="31" width="24" style="30" customWidth="1"/>
    <col min="32" max="32" width="22.140625" style="30" customWidth="1"/>
    <col min="33" max="33" width="13.42578125" style="30" customWidth="1"/>
    <col min="34" max="34" width="12.7109375" style="30" customWidth="1"/>
    <col min="35" max="36" width="34.85546875" style="30" customWidth="1"/>
    <col min="37" max="37" width="13.5703125" style="30" customWidth="1"/>
    <col min="38" max="45" width="8.85546875" style="30" customWidth="1"/>
    <col min="46" max="46" width="15.7109375" style="30" hidden="1" customWidth="1"/>
    <col min="47" max="16384" width="8.85546875" style="30" hidden="1"/>
  </cols>
  <sheetData>
    <row r="1" spans="2:46" ht="15.75" customHeight="1" thickBot="1" x14ac:dyDescent="0.25"/>
    <row r="2" spans="2:46" ht="19.899999999999999" customHeight="1" thickBot="1" x14ac:dyDescent="0.25">
      <c r="B2" s="1551" t="str">
        <f>CONCATENATE("Project Name:", " ", Start!F12, "     ", "Map Reference:", " ", Start!K55)</f>
        <v xml:space="preserve">Project Name: Botley West Solar Farm     Map Reference: </v>
      </c>
      <c r="C2" s="1552"/>
      <c r="D2" s="1553"/>
      <c r="M2" s="503"/>
      <c r="N2" s="1587" t="s">
        <v>381</v>
      </c>
      <c r="O2" s="1588"/>
      <c r="P2" s="1589"/>
      <c r="X2" s="1460" t="str">
        <f ca="1">IF(OR(COUNTIF($X$12:X257,"*30+*")&gt;0,COUNTIF($AB$12:AB257,"*30+*")&gt;0),"Note; Habitat selected has a time to target condition greater than 30 years. Non standard agreement may be required.","")</f>
        <v/>
      </c>
      <c r="Y2" s="1460"/>
      <c r="Z2" s="1460"/>
      <c r="AA2" s="1460"/>
      <c r="AB2" s="1460"/>
      <c r="AC2" s="1460"/>
    </row>
    <row r="3" spans="2:46" ht="21" customHeight="1" x14ac:dyDescent="0.2">
      <c r="B3" s="1509" t="str">
        <f ca="1">MID(CELL("filename",A1),FIND("]",CELL("filename",A1))+1,256)</f>
        <v>B-3 On-Site Hedge Enhancement</v>
      </c>
      <c r="C3" s="1510"/>
      <c r="D3" s="1511"/>
      <c r="N3" s="535" t="s">
        <v>264</v>
      </c>
      <c r="O3" s="1498">
        <f ca="1">'Headline Results'!H48</f>
        <v>332.1931023132538</v>
      </c>
      <c r="P3" s="1499"/>
      <c r="X3" s="1460"/>
      <c r="Y3" s="1460"/>
      <c r="Z3" s="1460"/>
      <c r="AA3" s="1460"/>
      <c r="AB3" s="1460"/>
      <c r="AC3" s="1460"/>
    </row>
    <row r="4" spans="2:46" ht="15.75" customHeight="1" thickBot="1" x14ac:dyDescent="0.3">
      <c r="B4" s="1512"/>
      <c r="C4" s="1513"/>
      <c r="D4" s="1514"/>
      <c r="N4" s="506" t="s">
        <v>266</v>
      </c>
      <c r="O4" s="1574">
        <f ca="1">'Headline Results'!H52</f>
        <v>0.59183226774872055</v>
      </c>
      <c r="P4" s="1575"/>
      <c r="V4" s="31"/>
      <c r="W4" s="158"/>
      <c r="X4" s="1460"/>
      <c r="Y4" s="1460"/>
      <c r="Z4" s="1460"/>
      <c r="AA4" s="1460"/>
      <c r="AB4" s="1460"/>
      <c r="AC4" s="1460"/>
      <c r="AD4" s="158"/>
      <c r="AE4" s="158"/>
      <c r="AF4" s="158"/>
      <c r="AG4" s="158"/>
      <c r="AH4" s="158"/>
      <c r="AI4" s="158"/>
      <c r="AJ4" s="158"/>
    </row>
    <row r="5" spans="2:46" ht="15.75" customHeight="1" thickBot="1" x14ac:dyDescent="0.25">
      <c r="N5" s="536" t="s">
        <v>268</v>
      </c>
      <c r="O5" s="1576" t="str" cm="1">
        <f t="array" aca="1" ref="O5" ca="1">IF(OR('Trading Summary Hedgerows'!G5:H8="No ▲"), "No - check trading summary ▲", "Yes ✓")</f>
        <v>Yes ✓</v>
      </c>
      <c r="P5" s="1577"/>
      <c r="Q5" s="509"/>
      <c r="X5" s="312"/>
      <c r="Y5" s="312"/>
      <c r="Z5" s="312"/>
      <c r="AA5" s="312"/>
      <c r="AB5" s="312"/>
    </row>
    <row r="6" spans="2:46" ht="15.75" customHeight="1" x14ac:dyDescent="0.2">
      <c r="X6" s="312"/>
      <c r="Y6" s="312"/>
      <c r="Z6" s="312"/>
      <c r="AA6" s="312"/>
      <c r="AB6" s="312"/>
    </row>
    <row r="7" spans="2:46" ht="14.25" x14ac:dyDescent="0.2">
      <c r="B7" s="102"/>
      <c r="C7" s="102"/>
      <c r="M7" s="101"/>
    </row>
    <row r="8" spans="2:46" ht="19.899999999999999" customHeight="1" thickBot="1" x14ac:dyDescent="0.25"/>
    <row r="9" spans="2:46" ht="15" thickBot="1" x14ac:dyDescent="0.25">
      <c r="C9" s="101"/>
      <c r="D9" s="101"/>
      <c r="E9" s="101"/>
      <c r="F9" s="101"/>
      <c r="G9" s="101"/>
      <c r="H9" s="101"/>
      <c r="I9" s="101"/>
      <c r="J9" s="101"/>
      <c r="K9" s="101"/>
      <c r="L9" s="101"/>
      <c r="M9" s="1557" t="s">
        <v>312</v>
      </c>
      <c r="N9" s="1559"/>
      <c r="O9" s="1559"/>
      <c r="P9" s="1559"/>
      <c r="Q9" s="1559"/>
      <c r="R9" s="1559"/>
      <c r="S9" s="1559"/>
      <c r="T9" s="1559"/>
      <c r="U9" s="1559"/>
      <c r="V9" s="1559"/>
      <c r="W9" s="1559"/>
      <c r="X9" s="1559"/>
      <c r="Y9" s="1559"/>
      <c r="Z9" s="1559"/>
      <c r="AA9" s="1559"/>
      <c r="AB9" s="1559"/>
      <c r="AC9" s="1559"/>
      <c r="AD9" s="1559"/>
      <c r="AE9" s="1559"/>
      <c r="AF9" s="1559"/>
      <c r="AG9" s="1560"/>
    </row>
    <row r="10" spans="2:46" ht="28.15" customHeight="1" thickBot="1" x14ac:dyDescent="0.25">
      <c r="B10" s="161"/>
      <c r="C10" s="1545" t="s">
        <v>394</v>
      </c>
      <c r="D10" s="1545"/>
      <c r="E10" s="1545"/>
      <c r="F10" s="1545"/>
      <c r="G10" s="1545"/>
      <c r="H10" s="1545"/>
      <c r="I10" s="1545"/>
      <c r="J10" s="1545"/>
      <c r="K10" s="1545"/>
      <c r="L10" s="1545"/>
      <c r="M10" s="1531" t="s">
        <v>395</v>
      </c>
      <c r="N10" s="1586" t="s">
        <v>335</v>
      </c>
      <c r="O10" s="1586"/>
      <c r="P10" s="1531" t="s">
        <v>34</v>
      </c>
      <c r="Q10" s="1312" t="s">
        <v>270</v>
      </c>
      <c r="R10" s="1310"/>
      <c r="S10" s="1543" t="s">
        <v>271</v>
      </c>
      <c r="T10" s="1310"/>
      <c r="U10" s="1533" t="s">
        <v>272</v>
      </c>
      <c r="V10" s="1533"/>
      <c r="W10" s="1533"/>
      <c r="X10" s="1570" t="s">
        <v>315</v>
      </c>
      <c r="Y10" s="1571"/>
      <c r="Z10" s="1571"/>
      <c r="AA10" s="1571"/>
      <c r="AB10" s="1571"/>
      <c r="AC10" s="1572"/>
      <c r="AD10" s="1549" t="s">
        <v>338</v>
      </c>
      <c r="AE10" s="1549"/>
      <c r="AF10" s="1549"/>
      <c r="AG10" s="1549"/>
      <c r="AH10" s="1549" t="s">
        <v>391</v>
      </c>
      <c r="AI10" s="1558" t="s">
        <v>277</v>
      </c>
      <c r="AJ10" s="1533"/>
    </row>
    <row r="11" spans="2:46" ht="61.5" customHeight="1" thickBot="1" x14ac:dyDescent="0.25">
      <c r="B11" s="140" t="s">
        <v>340</v>
      </c>
      <c r="C11" s="145" t="s">
        <v>341</v>
      </c>
      <c r="D11" s="145" t="s">
        <v>34</v>
      </c>
      <c r="E11" s="145" t="s">
        <v>343</v>
      </c>
      <c r="F11" s="145" t="s">
        <v>344</v>
      </c>
      <c r="G11" s="145" t="s">
        <v>345</v>
      </c>
      <c r="H11" s="145" t="s">
        <v>346</v>
      </c>
      <c r="I11" s="145" t="s">
        <v>347</v>
      </c>
      <c r="J11" s="145" t="s">
        <v>348</v>
      </c>
      <c r="K11" s="145" t="s">
        <v>349</v>
      </c>
      <c r="L11" s="144" t="s">
        <v>273</v>
      </c>
      <c r="M11" s="1531"/>
      <c r="N11" s="132" t="s">
        <v>396</v>
      </c>
      <c r="O11" s="752" t="s">
        <v>397</v>
      </c>
      <c r="P11" s="1531"/>
      <c r="Q11" s="126" t="s">
        <v>270</v>
      </c>
      <c r="R11" s="861" t="s">
        <v>287</v>
      </c>
      <c r="S11" s="865" t="s">
        <v>271</v>
      </c>
      <c r="T11" s="861" t="s">
        <v>287</v>
      </c>
      <c r="U11" s="132" t="s">
        <v>272</v>
      </c>
      <c r="V11" s="811" t="s">
        <v>272</v>
      </c>
      <c r="W11" s="752" t="s">
        <v>318</v>
      </c>
      <c r="X11" s="132" t="s">
        <v>393</v>
      </c>
      <c r="Y11" s="811" t="s">
        <v>378</v>
      </c>
      <c r="Z11" s="811" t="s">
        <v>355</v>
      </c>
      <c r="AA11" s="811" t="s">
        <v>322</v>
      </c>
      <c r="AB11" s="811" t="s">
        <v>323</v>
      </c>
      <c r="AC11" s="752" t="s">
        <v>398</v>
      </c>
      <c r="AD11" s="132" t="s">
        <v>399</v>
      </c>
      <c r="AE11" s="811" t="s">
        <v>1682</v>
      </c>
      <c r="AF11" s="811" t="s">
        <v>400</v>
      </c>
      <c r="AG11" s="752" t="s">
        <v>328</v>
      </c>
      <c r="AH11" s="1585"/>
      <c r="AI11" s="865" t="s">
        <v>296</v>
      </c>
      <c r="AJ11" s="861" t="s">
        <v>297</v>
      </c>
      <c r="AK11" s="48" t="s">
        <v>298</v>
      </c>
      <c r="AT11" s="101" t="s">
        <v>281</v>
      </c>
    </row>
    <row r="12" spans="2:46" ht="28.5" x14ac:dyDescent="0.2">
      <c r="B12" s="863">
        <f>'B-1 On-Site Hedge Baseline'!AK10</f>
        <v>2</v>
      </c>
      <c r="C12" s="370" t="str">
        <f ca="1">IF(B12="","",IF(ISNA(VLOOKUP($B12,'B-1 On-Site Hedge Baseline'!$B$1:$L$257,3,FALSE)),"",(VLOOKUP($B12,'B-1 On-Site Hedge Baseline'!$B$1:$L$257,3,FALSE))))</f>
        <v>Species-rich native hedgerow</v>
      </c>
      <c r="D12" s="370">
        <f ca="1">IF(B12="","",IF(ISNA(VLOOKUP($B12,'B-1 On-Site Hedge Baseline'!$B$1:$L$257,4,FALSE)),"",(VLOOKUP($B12,'B-1 On-Site Hedge Baseline'!$B$1:$L$257,4,FALSE))))</f>
        <v>0.42970000000000003</v>
      </c>
      <c r="E12" s="370" t="str">
        <f ca="1">IF(B12="","",IF(ISNA(VLOOKUP($B12,'B-1 On-Site Hedge Baseline'!$B$1:$L$257,5,FALSE)),"",(VLOOKUP($B12,'B-1 On-Site Hedge Baseline'!$B$1:$L$257,5,FALSE))))</f>
        <v>Medium</v>
      </c>
      <c r="F12" s="370">
        <f ca="1">IF(B12="","",IF(ISNA(VLOOKUP($B12,'B-1 On-Site Hedge Baseline'!$B$1:$L$257,6,FALSE)),"",(VLOOKUP($B12,'B-1 On-Site Hedge Baseline'!$B$1:$L$257,6,FALSE))))</f>
        <v>4</v>
      </c>
      <c r="G12" s="370" t="str">
        <f ca="1">IF(B12="","",IF(ISNA(VLOOKUP($B12,'B-1 On-Site Hedge Baseline'!$B$1:$L$257,7,FALSE)),"",(VLOOKUP($B12,'B-1 On-Site Hedge Baseline'!$B$1:$L$257,7,FALSE))))</f>
        <v>Good</v>
      </c>
      <c r="H12" s="370">
        <f ca="1">IF(B12="","",IF(ISNA(VLOOKUP($B12,'B-1 On-Site Hedge Baseline'!$B$1:$L$257,8,FALSE)),"",(VLOOKUP($B12,'B-1 On-Site Hedge Baseline'!$B$1:$L$257,8,FALSE))))</f>
        <v>3</v>
      </c>
      <c r="I12" s="370" t="str">
        <f ca="1">IF(B12="","",IF(ISNA(VLOOKUP($B12,'B-1 On-Site Hedge Baseline'!$B$1:$L$257,10,FALSE)),"",(VLOOKUP($B12,'B-1 On-Site Hedge Baseline'!$B$1:$L$257,10,FALSE))))</f>
        <v>Low Strategic Significance</v>
      </c>
      <c r="J12" s="370">
        <f ca="1">IF(B12="","",IF(ISNA(VLOOKUP($B12,'B-1 On-Site Hedge Baseline'!$B$1:$L$257,11,FALSE)),"",(VLOOKUP($B12,'B-1 On-Site Hedge Baseline'!$B$1:$L$257,11,FALSE))))</f>
        <v>1</v>
      </c>
      <c r="K12" s="370">
        <f ca="1">IF(B12="","",IF(ISNA(VLOOKUP($B12,'B-1 On-Site Hedge Baseline'!$B$1:$U$257,13,FALSE)),"",(VLOOKUP($B12,'B-1 On-Site Hedge Baseline'!$B$1:$U$257,13,FALSE))))</f>
        <v>5.1564000000000005</v>
      </c>
      <c r="L12" s="363" t="str">
        <f ca="1">IF(B12="","",IF(ISNA(VLOOKUP($B12,'B-1 On-Site Hedge Baseline'!$B$1:$U$257,12,FALSE)),"",(VLOOKUP($B12,'B-1 On-Site Hedge Baseline'!$B$1:$U$257,12,FALSE))))</f>
        <v>Same distinctiveness band or better</v>
      </c>
      <c r="M12" s="864" t="s">
        <v>168</v>
      </c>
      <c r="N12" s="362" t="str">
        <f ca="1">IFERROR(IF(B12="","",INDEX('G-6 Hedgerow Data'!$AN$3:$AZ$15,MATCH(C12,'G-6 Hedgerow Data'!$AM$3:$AM$15,0),MATCH(M12,'G-6 Hedgerow Data'!$AN$2:$AZ$2,0))),"")</f>
        <v>Medium - High</v>
      </c>
      <c r="O12" s="363" t="str">
        <f ca="1">IFERROR(IF(B12="","",IF(AND(LEFT(C12,55)&lt;&gt;LEFT(M12,55),N12="High - High"),"Error - Not like for like ▲",IF(H12&gt;T12,"Error - Can not reduce condition ▲",IF(AND(F12=R12,H12=T12),"Error - No enhancement ▲",IF(AND(C12&lt;&gt;M12,F12&lt;R12),"Lower Distinctiveness Habitat"&amp;" - "&amp;S12,G12&amp;" - "&amp;S12))))),"")</f>
        <v>Lower Distinctiveness Habitat - Good</v>
      </c>
      <c r="P12" s="417">
        <f>IF(B12="","",VLOOKUP(B12,'B-1 On-Site Hedge Baseline'!$B$10:T257,16,FALSE))</f>
        <v>0.1409</v>
      </c>
      <c r="Q12" s="362" t="str">
        <f>IF(M12="","",VLOOKUP(M12,'G-6 Hedgerow Data'!$B$2:$AG$15,2,FALSE))</f>
        <v>High</v>
      </c>
      <c r="R12" s="363">
        <f>IF(M12="","",VLOOKUP(M12,'G-6 Hedgerow Data'!$B$2:$AG$15,3,FALSE))</f>
        <v>6</v>
      </c>
      <c r="S12" s="114" t="s">
        <v>68</v>
      </c>
      <c r="T12" s="401">
        <f>IFERROR(VLOOKUP(S12,'G-1 All Habitats'!$Z$2:$AA$9,2,FALSE),"")</f>
        <v>3</v>
      </c>
      <c r="U12" s="114" t="s">
        <v>1037</v>
      </c>
      <c r="V12" s="370" t="str">
        <f>IF(U12="","",IF(VLOOKUP(U12,'G-3 Multipliers'!$L$3:$N$6,2,FALSE)=0,"Spatial Data Missing ⚠",VLOOKUP(U12,'G-3 Multipliers'!$L$3:$N$6,2,FALSE)))</f>
        <v>Low Strategic Significance</v>
      </c>
      <c r="W12" s="363">
        <f>IF(U12="","",IF(VLOOKUP(U12,'G-3 Multipliers'!$L$3:$N$6,3,FALSE)=0,"Spatial Data Missing ⚠",VLOOKUP(U12,'G-3 Multipliers'!$L$3:$N$6,3,FALSE)))</f>
        <v>1</v>
      </c>
      <c r="X12" s="362">
        <f ca="1">IFERROR(IF(OR(LEFT(O12,5)="Error",LEFT(N12,5)="Error",T12="Error"),"Check Data ⚠",IF(F12&lt;R12,INDEX('G-6 Hedgerow Data'!$S$3:$AE$14,MATCH(C12,'G-6 Hedgerow Data'!$B$3:$B$14,0),MATCH(M12,'G-6 Hedgerow Data'!$S$2:$AE$2,0)),INDEX('G-6 Hedgerow Data'!$K$3:$Q$14,MATCH(M12,'G-6 Hedgerow Data'!$B$3:$B$14,0),MATCH(O12,'G-6 Hedgerow Data'!$K$2:$Q$2,0)))),"")</f>
        <v>10</v>
      </c>
      <c r="Y12" s="159"/>
      <c r="Z12" s="159"/>
      <c r="AA12" s="370"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383">
        <f ca="1">IF(X12="","",IF(AA12="Check Data ⚠","Check Data ⚠",IF(Y12="30+",0,IF(Z12="30+","30+ ⚠",IF(X12+Z12&gt;30,"30+ 'C-1 Site River Baseline'!",IF(AA12="Error -both advance and delayed habitat creation ▲","Check Data ⚠",IF(X12+Z12-Y12&gt;0,X12+Z12-Y12,IF(X12-Y12&lt;=0,0,))))))))</f>
        <v>10</v>
      </c>
      <c r="AC12" s="384">
        <f t="shared" ref="AC12:AC75" ca="1" si="0">IF(OR(S12="",M12=""),"",IF(LEFT(AB12,5)="Error ▲","Check Data ⚠",IF(AB12="Check Data ⚠","Check Data ⚠",VLOOKUP(AB12,TemporalMultipliers,3,FALSE))))</f>
        <v>0.70028227419999989</v>
      </c>
      <c r="AD12" s="362" t="str">
        <f>IF(M12="","",VLOOKUP(M12,'G-6 Hedgerow Data'!$B$3:$AG$15,31,FALSE))</f>
        <v>Low</v>
      </c>
      <c r="AE12" s="370"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370" t="str">
        <f ca="1">(IF(AND(AE12="Standard difficulty applied",X12&gt;Y12),AD12,IF(AND(AE12="Low Difficulty - only applicable if all habitat created before losses ⚠",Y12&gt;=X12),"Low",AD12)))</f>
        <v>Low</v>
      </c>
      <c r="AG12" s="363">
        <f ca="1">IFERROR(IF(O12="","",VLOOKUP(AD12,'G-3 Multipliers'!$P$3:$Q$6,2,FALSE)),"")</f>
        <v>1</v>
      </c>
      <c r="AH12" s="376">
        <f ca="1">IFERROR(IF(OR(M12="",S12="",U12=""),"",(((((P12*R12*T12)-(P12*F12*H12))*(AG12*AC12))+(P12*F12*H12))*(W12))),"")</f>
        <v>2.2828186346086801</v>
      </c>
      <c r="AI12" s="317"/>
      <c r="AJ12" s="195"/>
      <c r="AK12" s="118"/>
      <c r="AT12" s="30" t="str">
        <f>IFERROR(INDEX('G-6 Hedgerow Data'!$BJ$3:$BJ$15,MATCH(M12,'G-6 Hedgerow Data'!$B$3:$B$15,0)),"")</f>
        <v>Hedgecond1</v>
      </c>
    </row>
    <row r="13" spans="2:46" ht="28.5" x14ac:dyDescent="0.2">
      <c r="B13" s="392">
        <f>'B-1 On-Site Hedge Baseline'!AK11</f>
        <v>3</v>
      </c>
      <c r="C13" s="382" t="str">
        <f ca="1">IF(B13="","",IF(ISNA(VLOOKUP($B13,'B-1 On-Site Hedge Baseline'!$B$1:$L$257,3,FALSE)),"",(VLOOKUP($B13,'B-1 On-Site Hedge Baseline'!$B$1:$L$257,3,FALSE))))</f>
        <v>Species-rich native hedgerow with trees</v>
      </c>
      <c r="D13" s="382">
        <f ca="1">IF(B13="","",IF(ISNA(VLOOKUP($B13,'B-1 On-Site Hedge Baseline'!$B$1:$L$257,4,FALSE)),"",(VLOOKUP($B13,'B-1 On-Site Hedge Baseline'!$B$1:$L$257,4,FALSE))))</f>
        <v>0.33279999999999998</v>
      </c>
      <c r="E13" s="382" t="str">
        <f ca="1">IF(B13="","",IF(ISNA(VLOOKUP($B13,'B-1 On-Site Hedge Baseline'!$B$1:$L$257,5,FALSE)),"",(VLOOKUP($B13,'B-1 On-Site Hedge Baseline'!$B$1:$L$257,5,FALSE))))</f>
        <v>High</v>
      </c>
      <c r="F13" s="382">
        <f ca="1">IF(B13="","",IF(ISNA(VLOOKUP($B13,'B-1 On-Site Hedge Baseline'!$B$1:$L$257,6,FALSE)),"",(VLOOKUP($B13,'B-1 On-Site Hedge Baseline'!$B$1:$L$257,6,FALSE))))</f>
        <v>6</v>
      </c>
      <c r="G13" s="382" t="str">
        <f ca="1">IF(B13="","",IF(ISNA(VLOOKUP($B13,'B-1 On-Site Hedge Baseline'!$B$1:$L$257,7,FALSE)),"",(VLOOKUP($B13,'B-1 On-Site Hedge Baseline'!$B$1:$L$257,7,FALSE))))</f>
        <v>Good</v>
      </c>
      <c r="H13" s="382">
        <f ca="1">IF(B13="","",IF(ISNA(VLOOKUP($B13,'B-1 On-Site Hedge Baseline'!$B$1:$L$257,8,FALSE)),"",(VLOOKUP($B13,'B-1 On-Site Hedge Baseline'!$B$1:$L$257,8,FALSE))))</f>
        <v>3</v>
      </c>
      <c r="I13" s="382" t="str">
        <f ca="1">IF(B13="","",IF(ISNA(VLOOKUP($B13,'B-1 On-Site Hedge Baseline'!$B$1:$L$257,10,FALSE)),"",(VLOOKUP($B13,'B-1 On-Site Hedge Baseline'!$B$1:$L$257,10,FALSE))))</f>
        <v>Low Strategic Significance</v>
      </c>
      <c r="J13" s="382">
        <f ca="1">IF(B13="","",IF(ISNA(VLOOKUP($B13,'B-1 On-Site Hedge Baseline'!$B$1:$L$257,11,FALSE)),"",(VLOOKUP($B13,'B-1 On-Site Hedge Baseline'!$B$1:$L$257,11,FALSE))))</f>
        <v>1</v>
      </c>
      <c r="K13" s="382">
        <f ca="1">IF(B13="","",IF(ISNA(VLOOKUP($B13,'B-1 On-Site Hedge Baseline'!$B$1:$U$257,13,FALSE)),"",(VLOOKUP($B13,'B-1 On-Site Hedge Baseline'!$B$1:$U$257,13,FALSE))))</f>
        <v>5.9903999999999993</v>
      </c>
      <c r="L13" s="386" t="str">
        <f ca="1">IF(B13="","",IF(ISNA(VLOOKUP($B13,'B-1 On-Site Hedge Baseline'!$B$1:$U$257,12,FALSE)),"",(VLOOKUP($B13,'B-1 On-Site Hedge Baseline'!$B$1:$U$257,12,FALSE))))</f>
        <v>Like for like or better</v>
      </c>
      <c r="M13" s="315" t="str">
        <f t="shared" ref="M13:M68" ca="1" si="1">IF(B13="","",C13)</f>
        <v>Species-rich native hedgerow with trees</v>
      </c>
      <c r="N13" s="362" t="str">
        <f ca="1">IFERROR(IF(B13="","",INDEX('G-6 Hedgerow Data'!$AN$3:$AZ$15,MATCH(C13,'G-6 Hedgerow Data'!$AM$3:$AM$15,0),MATCH(M13,'G-6 Hedgerow Data'!$AN$2:$AZ$2,0))),"")</f>
        <v>High - High</v>
      </c>
      <c r="O13" s="363" t="str">
        <f t="shared" ref="O13:O76" ca="1" si="2">IFERROR(IF(B13="","",IF(AND(LEFT(C13,55)&lt;&gt;LEFT(M13,55),N13="High - High"),"Error - Not like for like ▲",IF(H13&gt;T13,"Error - Can not reduce condition ▲",IF(AND(F13=R13,H13=T13),"Error - No enhancement ▲",IF(AND(C13&lt;&gt;M13,F13&lt;R13),"Lower Distinctiveness Habitat"&amp;" - "&amp;S13,G13&amp;" - "&amp;S13))))),"")</f>
        <v>Error - No enhancement ▲</v>
      </c>
      <c r="P13" s="417">
        <f>IF(B13="","",VLOOKUP(B13,'B-1 On-Site Hedge Baseline'!$B$10:T258,16,FALSE))</f>
        <v>0.33279999999999998</v>
      </c>
      <c r="Q13" s="362" t="str">
        <f ca="1">IF(M13="","",VLOOKUP(M13,'G-6 Hedgerow Data'!$B$2:$AG$15,2,FALSE))</f>
        <v>High</v>
      </c>
      <c r="R13" s="363">
        <f ca="1">IF(M13="","",VLOOKUP(M13,'G-6 Hedgerow Data'!$B$2:$AG$15,3,FALSE))</f>
        <v>6</v>
      </c>
      <c r="S13" s="114" t="s">
        <v>68</v>
      </c>
      <c r="T13" s="401">
        <f>IFERROR(VLOOKUP(S13,'G-1 All Habitats'!$Z$2:$AA$9,2,FALSE),"")</f>
        <v>3</v>
      </c>
      <c r="U13" s="114" t="s">
        <v>1037</v>
      </c>
      <c r="V13" s="382" t="str">
        <f>IF(U13="","",IF(VLOOKUP(U13,'G-3 Multipliers'!$L$3:$N$6,2,FALSE)=0,"Spatial Data Missing ⚠",VLOOKUP(U13,'G-3 Multipliers'!$L$3:$N$6,2,FALSE)))</f>
        <v>Low Strategic Significance</v>
      </c>
      <c r="W13" s="386">
        <f>IF(U13="","",IF(VLOOKUP(U13,'G-3 Multipliers'!$L$3:$N$6,3,FALSE)=0,"Spatial Data Missing ⚠",VLOOKUP(U13,'G-3 Multipliers'!$L$3:$N$6,3,FALSE)))</f>
        <v>1</v>
      </c>
      <c r="X13" s="362" t="str">
        <f ca="1">IFERROR(IF(OR(LEFT(O13,5)="Error",LEFT(N13,5)="Error",T13="Error"),"Check Data ⚠",IF(F13&lt;R13,INDEX('G-6 Hedgerow Data'!$S$3:$AE$14,MATCH(C13,'G-6 Hedgerow Data'!$B$3:$B$14,0),MATCH(M13,'G-6 Hedgerow Data'!$S$2:$AE$2,0)),INDEX('G-6 Hedgerow Data'!$K$3:$Q$14,MATCH(M13,'G-6 Hedgerow Data'!$B$3:$B$14,0),MATCH(O13,'G-6 Hedgerow Data'!$K$2:$Q$2,0)))),"")</f>
        <v>Check Data ⚠</v>
      </c>
      <c r="Y13" s="159"/>
      <c r="Z13" s="159"/>
      <c r="AA13" s="370" t="str">
        <f t="shared" ref="AA13:AA76" ca="1"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Check Data ⚠</v>
      </c>
      <c r="AB13" s="383" t="str">
        <f t="shared" ref="AB13:AB76" ca="1" si="4">IF(X13="","",IF(AA13="Check Data ⚠","Check Data ⚠",IF(Y13="30+",0,IF(Z13="30+","30+ ⚠",IF(X13+Z13&gt;30,"30+ 'C-1 Site River Baseline'!",IF(AA13="Error -both advance and delayed habitat creation ▲","Check Data ⚠",IF(X13+Z13-Y13&gt;0,X13+Z13-Y13,IF(X13-Y13&lt;=0,0,))))))))</f>
        <v>Check Data ⚠</v>
      </c>
      <c r="AC13" s="384" t="str">
        <f t="shared" ca="1" si="0"/>
        <v>Check Data ⚠</v>
      </c>
      <c r="AD13" s="398" t="str">
        <f ca="1">IF(M13="","",VLOOKUP(M13,'G-6 Hedgerow Data'!$B$3:$AG$15,31,FALSE))</f>
        <v>Low</v>
      </c>
      <c r="AE13" s="370" t="str">
        <f t="shared" ref="AE13:AE76" ca="1" si="5">IF(M13="","",IF(OR(LEFT(AA13,5)="Error ▲",AA13="Check Data ⚠"),"Check Data ⚠",IF(X13="","",IF($AA13="Check details - Is there evidence that habitat has reached target condition? ⚠","Low Difficulty - only applicable if all habitat created before losses ⚠","Standard difficulty applied"))))</f>
        <v>Check Data ⚠</v>
      </c>
      <c r="AF13" s="370" t="str">
        <f t="shared" ref="AF13:AF76" ca="1" si="6">(IF(AND(AE13="Standard difficulty applied",X13&gt;Y13),AD13,IF(AND(AE13="Low Difficulty - only applicable if all habitat created before losses ⚠",Y13&gt;=X13),"Low",AD13)))</f>
        <v>Low</v>
      </c>
      <c r="AG13" s="386">
        <f ca="1">IFERROR(IF(O13="","",VLOOKUP(AD13,'G-3 Multipliers'!$P$3:$Q$6,2,FALSE)),"")</f>
        <v>1</v>
      </c>
      <c r="AH13" s="376" t="str">
        <f t="shared" ref="AH13:AH75" ca="1" si="7">IFERROR(IF(OR(M13="",S13="",U13=""),"",(((((P13*R13*T13)-(P13*F13*H13))*(AG13*AC13))+(P13*F13*H13))*(W13))),"")</f>
        <v/>
      </c>
      <c r="AI13" s="317"/>
      <c r="AJ13" s="195"/>
      <c r="AK13" s="120"/>
      <c r="AT13" s="30" t="str">
        <f ca="1">IFERROR(INDEX('G-6 Hedgerow Data'!$BJ$3:$BJ$15,MATCH(M13,'G-6 Hedgerow Data'!$B$3:$B$15,0)),"")</f>
        <v>Hedgecond1</v>
      </c>
    </row>
    <row r="14" spans="2:46" ht="28.5" x14ac:dyDescent="0.2">
      <c r="B14" s="392">
        <f>'B-1 On-Site Hedge Baseline'!AK12</f>
        <v>4</v>
      </c>
      <c r="C14" s="382" t="str">
        <f ca="1">IF(B14="","",IF(ISNA(VLOOKUP($B14,'B-1 On-Site Hedge Baseline'!$B$1:$L$257,3,FALSE)),"",(VLOOKUP($B14,'B-1 On-Site Hedge Baseline'!$B$1:$L$257,3,FALSE))))</f>
        <v>Native hedgerow</v>
      </c>
      <c r="D14" s="382">
        <f ca="1">IF(B14="","",IF(ISNA(VLOOKUP($B14,'B-1 On-Site Hedge Baseline'!$B$1:$L$257,4,FALSE)),"",(VLOOKUP($B14,'B-1 On-Site Hedge Baseline'!$B$1:$L$257,4,FALSE))))</f>
        <v>0.74719999999999998</v>
      </c>
      <c r="E14" s="382" t="str">
        <f ca="1">IF(B14="","",IF(ISNA(VLOOKUP($B14,'B-1 On-Site Hedge Baseline'!$B$1:$L$257,5,FALSE)),"",(VLOOKUP($B14,'B-1 On-Site Hedge Baseline'!$B$1:$L$257,5,FALSE))))</f>
        <v>Low</v>
      </c>
      <c r="F14" s="382">
        <f ca="1">IF(B14="","",IF(ISNA(VLOOKUP($B14,'B-1 On-Site Hedge Baseline'!$B$1:$L$257,6,FALSE)),"",(VLOOKUP($B14,'B-1 On-Site Hedge Baseline'!$B$1:$L$257,6,FALSE))))</f>
        <v>2</v>
      </c>
      <c r="G14" s="382" t="str">
        <f ca="1">IF(B14="","",IF(ISNA(VLOOKUP($B14,'B-1 On-Site Hedge Baseline'!$B$1:$L$257,7,FALSE)),"",(VLOOKUP($B14,'B-1 On-Site Hedge Baseline'!$B$1:$L$257,7,FALSE))))</f>
        <v>Good</v>
      </c>
      <c r="H14" s="382">
        <f ca="1">IF(B14="","",IF(ISNA(VLOOKUP($B14,'B-1 On-Site Hedge Baseline'!$B$1:$L$257,8,FALSE)),"",(VLOOKUP($B14,'B-1 On-Site Hedge Baseline'!$B$1:$L$257,8,FALSE))))</f>
        <v>3</v>
      </c>
      <c r="I14" s="382" t="str">
        <f ca="1">IF(B14="","",IF(ISNA(VLOOKUP($B14,'B-1 On-Site Hedge Baseline'!$B$1:$L$257,10,FALSE)),"",(VLOOKUP($B14,'B-1 On-Site Hedge Baseline'!$B$1:$L$257,10,FALSE))))</f>
        <v>Low Strategic Significance</v>
      </c>
      <c r="J14" s="382">
        <f ca="1">IF(B14="","",IF(ISNA(VLOOKUP($B14,'B-1 On-Site Hedge Baseline'!$B$1:$L$257,11,FALSE)),"",(VLOOKUP($B14,'B-1 On-Site Hedge Baseline'!$B$1:$L$257,11,FALSE))))</f>
        <v>1</v>
      </c>
      <c r="K14" s="382">
        <f ca="1">IF(B14="","",IF(ISNA(VLOOKUP($B14,'B-1 On-Site Hedge Baseline'!$B$1:$U$257,13,FALSE)),"",(VLOOKUP($B14,'B-1 On-Site Hedge Baseline'!$B$1:$U$257,13,FALSE))))</f>
        <v>4.4832000000000001</v>
      </c>
      <c r="L14" s="386" t="str">
        <f ca="1">IF(B14="","",IF(ISNA(VLOOKUP($B14,'B-1 On-Site Hedge Baseline'!$B$1:$U$257,12,FALSE)),"",(VLOOKUP($B14,'B-1 On-Site Hedge Baseline'!$B$1:$U$257,12,FALSE))))</f>
        <v>Same distinctiveness band or better</v>
      </c>
      <c r="M14" s="315" t="s">
        <v>171</v>
      </c>
      <c r="N14" s="362" t="str">
        <f ca="1">IFERROR(IF(B14="","",INDEX('G-6 Hedgerow Data'!$AN$3:$AZ$15,MATCH(C14,'G-6 Hedgerow Data'!$AM$3:$AM$15,0),MATCH(M14,'G-6 Hedgerow Data'!$AN$2:$AZ$2,0))),"")</f>
        <v>Low - Medium</v>
      </c>
      <c r="O14" s="363" t="str">
        <f t="shared" ca="1" si="2"/>
        <v>Lower Distinctiveness Habitat - Good</v>
      </c>
      <c r="P14" s="417">
        <f>IF(B14="","",VLOOKUP(B14,'B-1 On-Site Hedge Baseline'!$B$10:T259,16,FALSE))</f>
        <v>0.29580000000000001</v>
      </c>
      <c r="Q14" s="362" t="str">
        <f>IF(M14="","",VLOOKUP(M14,'G-6 Hedgerow Data'!$B$2:$AG$15,2,FALSE))</f>
        <v>Medium</v>
      </c>
      <c r="R14" s="363">
        <f>IF(M14="","",VLOOKUP(M14,'G-6 Hedgerow Data'!$B$2:$AG$15,3,FALSE))</f>
        <v>4</v>
      </c>
      <c r="S14" s="114" t="s">
        <v>68</v>
      </c>
      <c r="T14" s="401">
        <f>IFERROR(VLOOKUP(S14,'G-1 All Habitats'!$Z$2:$AA$9,2,FALSE),"")</f>
        <v>3</v>
      </c>
      <c r="U14" s="114" t="s">
        <v>1037</v>
      </c>
      <c r="V14" s="382" t="str">
        <f>IF(U14="","",IF(VLOOKUP(U14,'G-3 Multipliers'!$L$3:$N$6,2,FALSE)=0,"Spatial Data Missing ⚠",VLOOKUP(U14,'G-3 Multipliers'!$L$3:$N$6,2,FALSE)))</f>
        <v>Low Strategic Significance</v>
      </c>
      <c r="W14" s="386">
        <f>IF(U14="","",IF(VLOOKUP(U14,'G-3 Multipliers'!$L$3:$N$6,3,FALSE)=0,"Spatial Data Missing ⚠",VLOOKUP(U14,'G-3 Multipliers'!$L$3:$N$6,3,FALSE)))</f>
        <v>1</v>
      </c>
      <c r="X14" s="362">
        <f ca="1">IFERROR(IF(OR(LEFT(O14,5)="Error",LEFT(N14,5)="Error",T14="Error"),"Check Data ⚠",IF(F14&lt;R14,INDEX('G-6 Hedgerow Data'!$S$3:$AE$14,MATCH(C14,'G-6 Hedgerow Data'!$B$3:$B$14,0),MATCH(M14,'G-6 Hedgerow Data'!$S$2:$AE$2,0)),INDEX('G-6 Hedgerow Data'!$K$3:$Q$14,MATCH(M14,'G-6 Hedgerow Data'!$B$3:$B$14,0),MATCH(O14,'G-6 Hedgerow Data'!$K$2:$Q$2,0)))),"")</f>
        <v>5</v>
      </c>
      <c r="Y14" s="159"/>
      <c r="Z14" s="159"/>
      <c r="AA14" s="370" t="str">
        <f t="shared" ca="1" si="3"/>
        <v>Standard time to target condition applied</v>
      </c>
      <c r="AB14" s="383">
        <f t="shared" ca="1" si="4"/>
        <v>5</v>
      </c>
      <c r="AC14" s="384">
        <f t="shared" ca="1" si="0"/>
        <v>0.83682870060000003</v>
      </c>
      <c r="AD14" s="398" t="str">
        <f>IF(M14="","",VLOOKUP(M14,'G-6 Hedgerow Data'!$B$3:$AG$15,31,FALSE))</f>
        <v>Low</v>
      </c>
      <c r="AE14" s="370" t="str">
        <f t="shared" ca="1" si="5"/>
        <v>Standard difficulty applied</v>
      </c>
      <c r="AF14" s="370" t="str">
        <f t="shared" ca="1" si="6"/>
        <v>Low</v>
      </c>
      <c r="AG14" s="386">
        <f ca="1">IFERROR(IF(O14="","",VLOOKUP(AD14,'G-3 Multipliers'!$P$3:$Q$6,2,FALSE)),"")</f>
        <v>1</v>
      </c>
      <c r="AH14" s="376">
        <f t="shared" ca="1" si="7"/>
        <v>3.2600035778248797</v>
      </c>
      <c r="AI14" s="317"/>
      <c r="AJ14" s="195"/>
      <c r="AK14" s="120"/>
      <c r="AT14" s="30" t="str">
        <f>IFERROR(INDEX('G-6 Hedgerow Data'!$BJ$3:$BJ$15,MATCH(M14,'G-6 Hedgerow Data'!$B$3:$B$15,0)),"")</f>
        <v>Hedgecond1</v>
      </c>
    </row>
    <row r="15" spans="2:46" ht="28.5" x14ac:dyDescent="0.2">
      <c r="B15" s="392">
        <f>'B-1 On-Site Hedge Baseline'!AK13</f>
        <v>7</v>
      </c>
      <c r="C15" s="382" t="str">
        <f ca="1">IF(B15="","",IF(ISNA(VLOOKUP($B15,'B-1 On-Site Hedge Baseline'!$B$1:$L$257,3,FALSE)),"",(VLOOKUP($B15,'B-1 On-Site Hedge Baseline'!$B$1:$L$257,3,FALSE))))</f>
        <v>Native hedgerow</v>
      </c>
      <c r="D15" s="382">
        <f ca="1">IF(B15="","",IF(ISNA(VLOOKUP($B15,'B-1 On-Site Hedge Baseline'!$B$1:$L$257,4,FALSE)),"",(VLOOKUP($B15,'B-1 On-Site Hedge Baseline'!$B$1:$L$257,4,FALSE))))</f>
        <v>0.31130000000000002</v>
      </c>
      <c r="E15" s="382" t="str">
        <f ca="1">IF(B15="","",IF(ISNA(VLOOKUP($B15,'B-1 On-Site Hedge Baseline'!$B$1:$L$257,5,FALSE)),"",(VLOOKUP($B15,'B-1 On-Site Hedge Baseline'!$B$1:$L$257,5,FALSE))))</f>
        <v>Low</v>
      </c>
      <c r="F15" s="382">
        <f ca="1">IF(B15="","",IF(ISNA(VLOOKUP($B15,'B-1 On-Site Hedge Baseline'!$B$1:$L$257,6,FALSE)),"",(VLOOKUP($B15,'B-1 On-Site Hedge Baseline'!$B$1:$L$257,6,FALSE))))</f>
        <v>2</v>
      </c>
      <c r="G15" s="382" t="str">
        <f ca="1">IF(B15="","",IF(ISNA(VLOOKUP($B15,'B-1 On-Site Hedge Baseline'!$B$1:$L$257,7,FALSE)),"",(VLOOKUP($B15,'B-1 On-Site Hedge Baseline'!$B$1:$L$257,7,FALSE))))</f>
        <v>Good</v>
      </c>
      <c r="H15" s="382">
        <f ca="1">IF(B15="","",IF(ISNA(VLOOKUP($B15,'B-1 On-Site Hedge Baseline'!$B$1:$L$257,8,FALSE)),"",(VLOOKUP($B15,'B-1 On-Site Hedge Baseline'!$B$1:$L$257,8,FALSE))))</f>
        <v>3</v>
      </c>
      <c r="I15" s="382" t="str">
        <f ca="1">IF(B15="","",IF(ISNA(VLOOKUP($B15,'B-1 On-Site Hedge Baseline'!$B$1:$L$257,10,FALSE)),"",(VLOOKUP($B15,'B-1 On-Site Hedge Baseline'!$B$1:$L$257,10,FALSE))))</f>
        <v>Low Strategic Significance</v>
      </c>
      <c r="J15" s="382">
        <f ca="1">IF(B15="","",IF(ISNA(VLOOKUP($B15,'B-1 On-Site Hedge Baseline'!$B$1:$L$257,11,FALSE)),"",(VLOOKUP($B15,'B-1 On-Site Hedge Baseline'!$B$1:$L$257,11,FALSE))))</f>
        <v>1</v>
      </c>
      <c r="K15" s="382">
        <f ca="1">IF(B15="","",IF(ISNA(VLOOKUP($B15,'B-1 On-Site Hedge Baseline'!$B$1:$U$257,13,FALSE)),"",(VLOOKUP($B15,'B-1 On-Site Hedge Baseline'!$B$1:$U$257,13,FALSE))))</f>
        <v>1.8678000000000001</v>
      </c>
      <c r="L15" s="386" t="str">
        <f ca="1">IF(B15="","",IF(ISNA(VLOOKUP($B15,'B-1 On-Site Hedge Baseline'!$B$1:$U$257,12,FALSE)),"",(VLOOKUP($B15,'B-1 On-Site Hedge Baseline'!$B$1:$U$257,12,FALSE))))</f>
        <v>Same distinctiveness band or better</v>
      </c>
      <c r="M15" s="315" t="s">
        <v>171</v>
      </c>
      <c r="N15" s="362" t="str">
        <f ca="1">IFERROR(IF(B15="","",INDEX('G-6 Hedgerow Data'!$AN$3:$AZ$15,MATCH(C15,'G-6 Hedgerow Data'!$AM$3:$AM$15,0),MATCH(M15,'G-6 Hedgerow Data'!$AN$2:$AZ$2,0))),"")</f>
        <v>Low - Medium</v>
      </c>
      <c r="O15" s="363" t="str">
        <f t="shared" ca="1" si="2"/>
        <v>Lower Distinctiveness Habitat - Good</v>
      </c>
      <c r="P15" s="417">
        <f>IF(B15="","",VLOOKUP(B15,'B-1 On-Site Hedge Baseline'!$B$10:T260,16,FALSE))</f>
        <v>0.31130000000000002</v>
      </c>
      <c r="Q15" s="362" t="str">
        <f>IF(M15="","",VLOOKUP(M15,'G-6 Hedgerow Data'!$B$2:$AG$15,2,FALSE))</f>
        <v>Medium</v>
      </c>
      <c r="R15" s="363">
        <f>IF(M15="","",VLOOKUP(M15,'G-6 Hedgerow Data'!$B$2:$AG$15,3,FALSE))</f>
        <v>4</v>
      </c>
      <c r="S15" s="114" t="s">
        <v>68</v>
      </c>
      <c r="T15" s="401">
        <f>IFERROR(VLOOKUP(S15,'G-1 All Habitats'!$Z$2:$AA$9,2,FALSE),"")</f>
        <v>3</v>
      </c>
      <c r="U15" s="114" t="s">
        <v>1037</v>
      </c>
      <c r="V15" s="382" t="str">
        <f>IF(U15="","",IF(VLOOKUP(U15,'G-3 Multipliers'!$L$3:$N$6,2,FALSE)=0,"Spatial Data Missing ⚠",VLOOKUP(U15,'G-3 Multipliers'!$L$3:$N$6,2,FALSE)))</f>
        <v>Low Strategic Significance</v>
      </c>
      <c r="W15" s="386">
        <f>IF(U15="","",IF(VLOOKUP(U15,'G-3 Multipliers'!$L$3:$N$6,3,FALSE)=0,"Spatial Data Missing ⚠",VLOOKUP(U15,'G-3 Multipliers'!$L$3:$N$6,3,FALSE)))</f>
        <v>1</v>
      </c>
      <c r="X15" s="362">
        <f ca="1">IFERROR(IF(OR(LEFT(O15,5)="Error",LEFT(N15,5)="Error",T15="Error"),"Check Data ⚠",IF(F15&lt;R15,INDEX('G-6 Hedgerow Data'!$S$3:$AE$14,MATCH(C15,'G-6 Hedgerow Data'!$B$3:$B$14,0),MATCH(M15,'G-6 Hedgerow Data'!$S$2:$AE$2,0)),INDEX('G-6 Hedgerow Data'!$K$3:$Q$14,MATCH(M15,'G-6 Hedgerow Data'!$B$3:$B$14,0),MATCH(O15,'G-6 Hedgerow Data'!$K$2:$Q$2,0)))),"")</f>
        <v>5</v>
      </c>
      <c r="Y15" s="159"/>
      <c r="Z15" s="159"/>
      <c r="AA15" s="370" t="str">
        <f t="shared" ca="1" si="3"/>
        <v>Standard time to target condition applied</v>
      </c>
      <c r="AB15" s="383">
        <f t="shared" ca="1" si="4"/>
        <v>5</v>
      </c>
      <c r="AC15" s="384">
        <f t="shared" ca="1" si="0"/>
        <v>0.83682870060000003</v>
      </c>
      <c r="AD15" s="398" t="str">
        <f>IF(M15="","",VLOOKUP(M15,'G-6 Hedgerow Data'!$B$3:$AG$15,31,FALSE))</f>
        <v>Low</v>
      </c>
      <c r="AE15" s="370" t="str">
        <f t="shared" ca="1" si="5"/>
        <v>Standard difficulty applied</v>
      </c>
      <c r="AF15" s="370" t="str">
        <f t="shared" ca="1" si="6"/>
        <v>Low</v>
      </c>
      <c r="AG15" s="386">
        <f ca="1">IFERROR(IF(O15="","",VLOOKUP(AD15,'G-3 Multipliers'!$P$3:$Q$6,2,FALSE)),"")</f>
        <v>1</v>
      </c>
      <c r="AH15" s="376">
        <f t="shared" ca="1" si="7"/>
        <v>3.4308286469806806</v>
      </c>
      <c r="AI15" s="317"/>
      <c r="AJ15" s="195"/>
      <c r="AK15" s="120"/>
      <c r="AT15" s="30" t="str">
        <f>IFERROR(INDEX('G-6 Hedgerow Data'!$BJ$3:$BJ$15,MATCH(M15,'G-6 Hedgerow Data'!$B$3:$B$15,0)),"")</f>
        <v>Hedgecond1</v>
      </c>
    </row>
    <row r="16" spans="2:46" ht="28.5" x14ac:dyDescent="0.2">
      <c r="B16" s="392">
        <f>'B-1 On-Site Hedge Baseline'!AK14</f>
        <v>8</v>
      </c>
      <c r="C16" s="382" t="str">
        <f ca="1">IF(B16="","",IF(ISNA(VLOOKUP($B16,'B-1 On-Site Hedge Baseline'!$B$1:$L$257,3,FALSE)),"",(VLOOKUP($B16,'B-1 On-Site Hedge Baseline'!$B$1:$L$257,3,FALSE))))</f>
        <v>Native hedgerow</v>
      </c>
      <c r="D16" s="382">
        <f ca="1">IF(B16="","",IF(ISNA(VLOOKUP($B16,'B-1 On-Site Hedge Baseline'!$B$1:$L$257,4,FALSE)),"",(VLOOKUP($B16,'B-1 On-Site Hedge Baseline'!$B$1:$L$257,4,FALSE))))</f>
        <v>0.80589999999999995</v>
      </c>
      <c r="E16" s="382" t="str">
        <f ca="1">IF(B16="","",IF(ISNA(VLOOKUP($B16,'B-1 On-Site Hedge Baseline'!$B$1:$L$257,5,FALSE)),"",(VLOOKUP($B16,'B-1 On-Site Hedge Baseline'!$B$1:$L$257,5,FALSE))))</f>
        <v>Low</v>
      </c>
      <c r="F16" s="382">
        <f ca="1">IF(B16="","",IF(ISNA(VLOOKUP($B16,'B-1 On-Site Hedge Baseline'!$B$1:$L$257,6,FALSE)),"",(VLOOKUP($B16,'B-1 On-Site Hedge Baseline'!$B$1:$L$257,6,FALSE))))</f>
        <v>2</v>
      </c>
      <c r="G16" s="382" t="str">
        <f ca="1">IF(B16="","",IF(ISNA(VLOOKUP($B16,'B-1 On-Site Hedge Baseline'!$B$1:$L$257,7,FALSE)),"",(VLOOKUP($B16,'B-1 On-Site Hedge Baseline'!$B$1:$L$257,7,FALSE))))</f>
        <v>Good</v>
      </c>
      <c r="H16" s="382">
        <f ca="1">IF(B16="","",IF(ISNA(VLOOKUP($B16,'B-1 On-Site Hedge Baseline'!$B$1:$L$257,8,FALSE)),"",(VLOOKUP($B16,'B-1 On-Site Hedge Baseline'!$B$1:$L$257,8,FALSE))))</f>
        <v>3</v>
      </c>
      <c r="I16" s="382" t="str">
        <f ca="1">IF(B16="","",IF(ISNA(VLOOKUP($B16,'B-1 On-Site Hedge Baseline'!$B$1:$L$257,10,FALSE)),"",(VLOOKUP($B16,'B-1 On-Site Hedge Baseline'!$B$1:$L$257,10,FALSE))))</f>
        <v>Low Strategic Significance</v>
      </c>
      <c r="J16" s="382">
        <f ca="1">IF(B16="","",IF(ISNA(VLOOKUP($B16,'B-1 On-Site Hedge Baseline'!$B$1:$L$257,11,FALSE)),"",(VLOOKUP($B16,'B-1 On-Site Hedge Baseline'!$B$1:$L$257,11,FALSE))))</f>
        <v>1</v>
      </c>
      <c r="K16" s="382">
        <f ca="1">IF(B16="","",IF(ISNA(VLOOKUP($B16,'B-1 On-Site Hedge Baseline'!$B$1:$U$257,13,FALSE)),"",(VLOOKUP($B16,'B-1 On-Site Hedge Baseline'!$B$1:$U$257,13,FALSE))))</f>
        <v>4.8353999999999999</v>
      </c>
      <c r="L16" s="386" t="str">
        <f ca="1">IF(B16="","",IF(ISNA(VLOOKUP($B16,'B-1 On-Site Hedge Baseline'!$B$1:$U$257,12,FALSE)),"",(VLOOKUP($B16,'B-1 On-Site Hedge Baseline'!$B$1:$U$257,12,FALSE))))</f>
        <v>Same distinctiveness band or better</v>
      </c>
      <c r="M16" s="315" t="s">
        <v>171</v>
      </c>
      <c r="N16" s="362" t="str">
        <f ca="1">IFERROR(IF(B16="","",INDEX('G-6 Hedgerow Data'!$AN$3:$AZ$15,MATCH(C16,'G-6 Hedgerow Data'!$AM$3:$AM$15,0),MATCH(M16,'G-6 Hedgerow Data'!$AN$2:$AZ$2,0))),"")</f>
        <v>Low - Medium</v>
      </c>
      <c r="O16" s="363" t="str">
        <f t="shared" ca="1" si="2"/>
        <v>Lower Distinctiveness Habitat - Good</v>
      </c>
      <c r="P16" s="417">
        <f>IF(B16="","",VLOOKUP(B16,'B-1 On-Site Hedge Baseline'!$B$10:T261,16,FALSE))</f>
        <v>0.65910000000000002</v>
      </c>
      <c r="Q16" s="362" t="str">
        <f>IF(M16="","",VLOOKUP(M16,'G-6 Hedgerow Data'!$B$2:$AG$15,2,FALSE))</f>
        <v>Medium</v>
      </c>
      <c r="R16" s="363">
        <f>IF(M16="","",VLOOKUP(M16,'G-6 Hedgerow Data'!$B$2:$AG$15,3,FALSE))</f>
        <v>4</v>
      </c>
      <c r="S16" s="114" t="s">
        <v>68</v>
      </c>
      <c r="T16" s="401">
        <f>IFERROR(VLOOKUP(S16,'G-1 All Habitats'!$Z$2:$AA$9,2,FALSE),"")</f>
        <v>3</v>
      </c>
      <c r="U16" s="114" t="s">
        <v>1037</v>
      </c>
      <c r="V16" s="382" t="str">
        <f>IF(U16="","",IF(VLOOKUP(U16,'G-3 Multipliers'!$L$3:$N$6,2,FALSE)=0,"Spatial Data Missing ⚠",VLOOKUP(U16,'G-3 Multipliers'!$L$3:$N$6,2,FALSE)))</f>
        <v>Low Strategic Significance</v>
      </c>
      <c r="W16" s="386">
        <f>IF(U16="","",IF(VLOOKUP(U16,'G-3 Multipliers'!$L$3:$N$6,3,FALSE)=0,"Spatial Data Missing ⚠",VLOOKUP(U16,'G-3 Multipliers'!$L$3:$N$6,3,FALSE)))</f>
        <v>1</v>
      </c>
      <c r="X16" s="362">
        <f ca="1">IFERROR(IF(OR(LEFT(O16,5)="Error",LEFT(N16,5)="Error",T16="Error"),"Check Data ⚠",IF(F16&lt;R16,INDEX('G-6 Hedgerow Data'!$S$3:$AE$14,MATCH(C16,'G-6 Hedgerow Data'!$B$3:$B$14,0),MATCH(M16,'G-6 Hedgerow Data'!$S$2:$AE$2,0)),INDEX('G-6 Hedgerow Data'!$K$3:$Q$14,MATCH(M16,'G-6 Hedgerow Data'!$B$3:$B$14,0),MATCH(O16,'G-6 Hedgerow Data'!$K$2:$Q$2,0)))),"")</f>
        <v>5</v>
      </c>
      <c r="Y16" s="159"/>
      <c r="Z16" s="159"/>
      <c r="AA16" s="370" t="str">
        <f t="shared" ca="1" si="3"/>
        <v>Standard time to target condition applied</v>
      </c>
      <c r="AB16" s="383">
        <f t="shared" ca="1" si="4"/>
        <v>5</v>
      </c>
      <c r="AC16" s="384">
        <f t="shared" ca="1" si="0"/>
        <v>0.83682870060000003</v>
      </c>
      <c r="AD16" s="398" t="str">
        <f>IF(M16="","",VLOOKUP(M16,'G-6 Hedgerow Data'!$B$3:$AG$15,31,FALSE))</f>
        <v>Low</v>
      </c>
      <c r="AE16" s="370" t="str">
        <f t="shared" ca="1" si="5"/>
        <v>Standard difficulty applied</v>
      </c>
      <c r="AF16" s="370" t="str">
        <f t="shared" ca="1" si="6"/>
        <v>Low</v>
      </c>
      <c r="AG16" s="386">
        <f ca="1">IFERROR(IF(O16="","",VLOOKUP(AD16,'G-3 Multipliers'!$P$3:$Q$6,2,FALSE)),"")</f>
        <v>1</v>
      </c>
      <c r="AH16" s="376">
        <f ca="1">IFERROR(IF(OR(M16="",S16="",U16=""),"",(((((P16*R16*T16)-(P16*F16*H16))*(AG16*AC16))+(P16*F16*H16))*(W16))),"")</f>
        <v>7.263922779392761</v>
      </c>
      <c r="AI16" s="188"/>
      <c r="AJ16" s="118"/>
      <c r="AK16" s="120"/>
      <c r="AT16" s="30" t="str">
        <f>IFERROR(INDEX('G-6 Hedgerow Data'!$BJ$3:$BJ$15,MATCH(M16,'G-6 Hedgerow Data'!$B$3:$B$15,0)),"")</f>
        <v>Hedgecond1</v>
      </c>
    </row>
    <row r="17" spans="2:46" ht="28.5" x14ac:dyDescent="0.2">
      <c r="B17" s="392">
        <f>'B-1 On-Site Hedge Baseline'!AK15</f>
        <v>9</v>
      </c>
      <c r="C17" s="382" t="str">
        <f ca="1">IF(B17="","",IF(ISNA(VLOOKUP($B17,'B-1 On-Site Hedge Baseline'!$B$1:$L$257,3,FALSE)),"",(VLOOKUP($B17,'B-1 On-Site Hedge Baseline'!$B$1:$L$257,3,FALSE))))</f>
        <v>Native hedgerow</v>
      </c>
      <c r="D17" s="382">
        <f ca="1">IF(B17="","",IF(ISNA(VLOOKUP($B17,'B-1 On-Site Hedge Baseline'!$B$1:$L$257,4,FALSE)),"",(VLOOKUP($B17,'B-1 On-Site Hedge Baseline'!$B$1:$L$257,4,FALSE))))</f>
        <v>0.59399999999999997</v>
      </c>
      <c r="E17" s="382" t="str">
        <f ca="1">IF(B17="","",IF(ISNA(VLOOKUP($B17,'B-1 On-Site Hedge Baseline'!$B$1:$L$257,5,FALSE)),"",(VLOOKUP($B17,'B-1 On-Site Hedge Baseline'!$B$1:$L$257,5,FALSE))))</f>
        <v>Low</v>
      </c>
      <c r="F17" s="382">
        <f ca="1">IF(B17="","",IF(ISNA(VLOOKUP($B17,'B-1 On-Site Hedge Baseline'!$B$1:$L$257,6,FALSE)),"",(VLOOKUP($B17,'B-1 On-Site Hedge Baseline'!$B$1:$L$257,6,FALSE))))</f>
        <v>2</v>
      </c>
      <c r="G17" s="382" t="str">
        <f ca="1">IF(B17="","",IF(ISNA(VLOOKUP($B17,'B-1 On-Site Hedge Baseline'!$B$1:$L$257,7,FALSE)),"",(VLOOKUP($B17,'B-1 On-Site Hedge Baseline'!$B$1:$L$257,7,FALSE))))</f>
        <v>Good</v>
      </c>
      <c r="H17" s="382">
        <f ca="1">IF(B17="","",IF(ISNA(VLOOKUP($B17,'B-1 On-Site Hedge Baseline'!$B$1:$L$257,8,FALSE)),"",(VLOOKUP($B17,'B-1 On-Site Hedge Baseline'!$B$1:$L$257,8,FALSE))))</f>
        <v>3</v>
      </c>
      <c r="I17" s="382" t="str">
        <f ca="1">IF(B17="","",IF(ISNA(VLOOKUP($B17,'B-1 On-Site Hedge Baseline'!$B$1:$L$257,10,FALSE)),"",(VLOOKUP($B17,'B-1 On-Site Hedge Baseline'!$B$1:$L$257,10,FALSE))))</f>
        <v>Low Strategic Significance</v>
      </c>
      <c r="J17" s="382">
        <f ca="1">IF(B17="","",IF(ISNA(VLOOKUP($B17,'B-1 On-Site Hedge Baseline'!$B$1:$L$257,11,FALSE)),"",(VLOOKUP($B17,'B-1 On-Site Hedge Baseline'!$B$1:$L$257,11,FALSE))))</f>
        <v>1</v>
      </c>
      <c r="K17" s="382">
        <f ca="1">IF(B17="","",IF(ISNA(VLOOKUP($B17,'B-1 On-Site Hedge Baseline'!$B$1:$U$257,13,FALSE)),"",(VLOOKUP($B17,'B-1 On-Site Hedge Baseline'!$B$1:$U$257,13,FALSE))))</f>
        <v>3.5640000000000001</v>
      </c>
      <c r="L17" s="386" t="str">
        <f ca="1">IF(B17="","",IF(ISNA(VLOOKUP($B17,'B-1 On-Site Hedge Baseline'!$B$1:$U$257,12,FALSE)),"",(VLOOKUP($B17,'B-1 On-Site Hedge Baseline'!$B$1:$U$257,12,FALSE))))</f>
        <v>Same distinctiveness band or better</v>
      </c>
      <c r="M17" s="315" t="s">
        <v>171</v>
      </c>
      <c r="N17" s="362" t="str">
        <f ca="1">IFERROR(IF(B17="","",INDEX('G-6 Hedgerow Data'!$AN$3:$AZ$15,MATCH(C17,'G-6 Hedgerow Data'!$AM$3:$AM$15,0),MATCH(M17,'G-6 Hedgerow Data'!$AN$2:$AZ$2,0))),"")</f>
        <v>Low - Medium</v>
      </c>
      <c r="O17" s="363" t="str">
        <f t="shared" ca="1" si="2"/>
        <v>Lower Distinctiveness Habitat - Good</v>
      </c>
      <c r="P17" s="417">
        <f>IF(B17="","",VLOOKUP(B17,'B-1 On-Site Hedge Baseline'!$B$10:T262,16,FALSE))</f>
        <v>0.54859999999999998</v>
      </c>
      <c r="Q17" s="362" t="str">
        <f>IF(M17="","",VLOOKUP(M17,'G-6 Hedgerow Data'!$B$2:$AG$15,2,FALSE))</f>
        <v>Medium</v>
      </c>
      <c r="R17" s="363">
        <f>IF(M17="","",VLOOKUP(M17,'G-6 Hedgerow Data'!$B$2:$AG$15,3,FALSE))</f>
        <v>4</v>
      </c>
      <c r="S17" s="55" t="s">
        <v>68</v>
      </c>
      <c r="T17" s="401">
        <f>IFERROR(VLOOKUP(S17,'G-1 All Habitats'!$Z$2:$AA$9,2,FALSE),"")</f>
        <v>3</v>
      </c>
      <c r="U17" s="114" t="s">
        <v>1037</v>
      </c>
      <c r="V17" s="382" t="str">
        <f>IF(U17="","",IF(VLOOKUP(U17,'G-3 Multipliers'!$L$3:$N$6,2,FALSE)=0,"Spatial Data Missing ⚠",VLOOKUP(U17,'G-3 Multipliers'!$L$3:$N$6,2,FALSE)))</f>
        <v>Low Strategic Significance</v>
      </c>
      <c r="W17" s="386">
        <f>IF(U17="","",IF(VLOOKUP(U17,'G-3 Multipliers'!$L$3:$N$6,3,FALSE)=0,"Spatial Data Missing ⚠",VLOOKUP(U17,'G-3 Multipliers'!$L$3:$N$6,3,FALSE)))</f>
        <v>1</v>
      </c>
      <c r="X17" s="362">
        <f ca="1">IFERROR(IF(OR(LEFT(O17,5)="Error",LEFT(N17,5)="Error",T17="Error"),"Check Data ⚠",IF(F17&lt;R17,INDEX('G-6 Hedgerow Data'!$S$3:$AE$14,MATCH(C17,'G-6 Hedgerow Data'!$B$3:$B$14,0),MATCH(M17,'G-6 Hedgerow Data'!$S$2:$AE$2,0)),INDEX('G-6 Hedgerow Data'!$K$3:$Q$14,MATCH(M17,'G-6 Hedgerow Data'!$B$3:$B$14,0),MATCH(O17,'G-6 Hedgerow Data'!$K$2:$Q$2,0)))),"")</f>
        <v>5</v>
      </c>
      <c r="Y17" s="159"/>
      <c r="Z17" s="159"/>
      <c r="AA17" s="370" t="str">
        <f t="shared" ca="1" si="3"/>
        <v>Standard time to target condition applied</v>
      </c>
      <c r="AB17" s="383">
        <f t="shared" ca="1" si="4"/>
        <v>5</v>
      </c>
      <c r="AC17" s="384">
        <f t="shared" ca="1" si="0"/>
        <v>0.83682870060000003</v>
      </c>
      <c r="AD17" s="398" t="str">
        <f>IF(M17="","",VLOOKUP(M17,'G-6 Hedgerow Data'!$B$3:$AG$15,31,FALSE))</f>
        <v>Low</v>
      </c>
      <c r="AE17" s="370" t="str">
        <f t="shared" ca="1" si="5"/>
        <v>Standard difficulty applied</v>
      </c>
      <c r="AF17" s="370" t="str">
        <f t="shared" ca="1" si="6"/>
        <v>Low</v>
      </c>
      <c r="AG17" s="386">
        <f ca="1">IFERROR(IF(O17="","",VLOOKUP(AD17,'G-3 Multipliers'!$P$3:$Q$6,2,FALSE)),"")</f>
        <v>1</v>
      </c>
      <c r="AH17" s="376">
        <f t="shared" ca="1" si="7"/>
        <v>6.04610535089496</v>
      </c>
      <c r="AI17" s="188"/>
      <c r="AJ17" s="118"/>
      <c r="AK17" s="120"/>
      <c r="AT17" s="30" t="str">
        <f>IFERROR(INDEX('G-6 Hedgerow Data'!$BJ$3:$BJ$15,MATCH(M17,'G-6 Hedgerow Data'!$B$3:$B$15,0)),"")</f>
        <v>Hedgecond1</v>
      </c>
    </row>
    <row r="18" spans="2:46" ht="28.5" x14ac:dyDescent="0.2">
      <c r="B18" s="392">
        <f>'B-1 On-Site Hedge Baseline'!AK16</f>
        <v>10</v>
      </c>
      <c r="C18" s="382" t="str">
        <f ca="1">IF(B18="","",IF(ISNA(VLOOKUP($B18,'B-1 On-Site Hedge Baseline'!$B$1:$L$257,3,FALSE)),"",(VLOOKUP($B18,'B-1 On-Site Hedge Baseline'!$B$1:$L$257,3,FALSE))))</f>
        <v>Native hedgerow</v>
      </c>
      <c r="D18" s="382">
        <f ca="1">IF(B18="","",IF(ISNA(VLOOKUP($B18,'B-1 On-Site Hedge Baseline'!$B$1:$L$257,4,FALSE)),"",(VLOOKUP($B18,'B-1 On-Site Hedge Baseline'!$B$1:$L$257,4,FALSE))))</f>
        <v>0.216</v>
      </c>
      <c r="E18" s="382" t="str">
        <f ca="1">IF(B18="","",IF(ISNA(VLOOKUP($B18,'B-1 On-Site Hedge Baseline'!$B$1:$L$257,5,FALSE)),"",(VLOOKUP($B18,'B-1 On-Site Hedge Baseline'!$B$1:$L$257,5,FALSE))))</f>
        <v>Low</v>
      </c>
      <c r="F18" s="382">
        <f ca="1">IF(B18="","",IF(ISNA(VLOOKUP($B18,'B-1 On-Site Hedge Baseline'!$B$1:$L$257,6,FALSE)),"",(VLOOKUP($B18,'B-1 On-Site Hedge Baseline'!$B$1:$L$257,6,FALSE))))</f>
        <v>2</v>
      </c>
      <c r="G18" s="382" t="str">
        <f ca="1">IF(B18="","",IF(ISNA(VLOOKUP($B18,'B-1 On-Site Hedge Baseline'!$B$1:$L$257,7,FALSE)),"",(VLOOKUP($B18,'B-1 On-Site Hedge Baseline'!$B$1:$L$257,7,FALSE))))</f>
        <v>Good</v>
      </c>
      <c r="H18" s="382">
        <f ca="1">IF(B18="","",IF(ISNA(VLOOKUP($B18,'B-1 On-Site Hedge Baseline'!$B$1:$L$257,8,FALSE)),"",(VLOOKUP($B18,'B-1 On-Site Hedge Baseline'!$B$1:$L$257,8,FALSE))))</f>
        <v>3</v>
      </c>
      <c r="I18" s="382" t="str">
        <f ca="1">IF(B18="","",IF(ISNA(VLOOKUP($B18,'B-1 On-Site Hedge Baseline'!$B$1:$L$257,10,FALSE)),"",(VLOOKUP($B18,'B-1 On-Site Hedge Baseline'!$B$1:$L$257,10,FALSE))))</f>
        <v xml:space="preserve">High strategic significance </v>
      </c>
      <c r="J18" s="382">
        <f ca="1">IF(B18="","",IF(ISNA(VLOOKUP($B18,'B-1 On-Site Hedge Baseline'!$B$1:$L$257,11,FALSE)),"",(VLOOKUP($B18,'B-1 On-Site Hedge Baseline'!$B$1:$L$257,11,FALSE))))</f>
        <v>1.1499999999999999</v>
      </c>
      <c r="K18" s="382">
        <f ca="1">IF(B18="","",IF(ISNA(VLOOKUP($B18,'B-1 On-Site Hedge Baseline'!$B$1:$U$257,13,FALSE)),"",(VLOOKUP($B18,'B-1 On-Site Hedge Baseline'!$B$1:$U$257,13,FALSE))))</f>
        <v>1.4903999999999999</v>
      </c>
      <c r="L18" s="386" t="str">
        <f ca="1">IF(B18="","",IF(ISNA(VLOOKUP($B18,'B-1 On-Site Hedge Baseline'!$B$1:$U$257,12,FALSE)),"",(VLOOKUP($B18,'B-1 On-Site Hedge Baseline'!$B$1:$U$257,12,FALSE))))</f>
        <v>Same distinctiveness band or better</v>
      </c>
      <c r="M18" s="315" t="s">
        <v>171</v>
      </c>
      <c r="N18" s="362" t="str">
        <f ca="1">IFERROR(IF(B18="","",INDEX('G-6 Hedgerow Data'!$AN$3:$AZ$15,MATCH(C18,'G-6 Hedgerow Data'!$AM$3:$AM$15,0),MATCH(M18,'G-6 Hedgerow Data'!$AN$2:$AZ$2,0))),"")</f>
        <v>Low - Medium</v>
      </c>
      <c r="O18" s="363" t="str">
        <f t="shared" ca="1" si="2"/>
        <v>Lower Distinctiveness Habitat - Good</v>
      </c>
      <c r="P18" s="417">
        <f>IF(B18="","",VLOOKUP(B18,'B-1 On-Site Hedge Baseline'!$B$10:T263,16,FALSE))</f>
        <v>2.4E-2</v>
      </c>
      <c r="Q18" s="362" t="str">
        <f>IF(M18="","",VLOOKUP(M18,'G-6 Hedgerow Data'!$B$2:$AG$15,2,FALSE))</f>
        <v>Medium</v>
      </c>
      <c r="R18" s="363">
        <f>IF(M18="","",VLOOKUP(M18,'G-6 Hedgerow Data'!$B$2:$AG$15,3,FALSE))</f>
        <v>4</v>
      </c>
      <c r="S18" s="55" t="s">
        <v>68</v>
      </c>
      <c r="T18" s="401">
        <f>IFERROR(VLOOKUP(S18,'G-1 All Habitats'!$Z$2:$AA$9,2,FALSE),"")</f>
        <v>3</v>
      </c>
      <c r="U18" s="114" t="s">
        <v>1029</v>
      </c>
      <c r="V18" s="382" t="str">
        <f>IF(U18="","",IF(VLOOKUP(U18,'G-3 Multipliers'!$L$3:$N$6,2,FALSE)=0,"Spatial Data Missing ⚠",VLOOKUP(U18,'G-3 Multipliers'!$L$3:$N$6,2,FALSE)))</f>
        <v xml:space="preserve">High strategic significance </v>
      </c>
      <c r="W18" s="386">
        <f>IF(U18="","",IF(VLOOKUP(U18,'G-3 Multipliers'!$L$3:$N$6,3,FALSE)=0,"Spatial Data Missing ⚠",VLOOKUP(U18,'G-3 Multipliers'!$L$3:$N$6,3,FALSE)))</f>
        <v>1.1499999999999999</v>
      </c>
      <c r="X18" s="362">
        <f ca="1">IFERROR(IF(OR(LEFT(O18,5)="Error",LEFT(N18,5)="Error",T18="Error"),"Check Data ⚠",IF(F18&lt;R18,INDEX('G-6 Hedgerow Data'!$S$3:$AE$14,MATCH(C18,'G-6 Hedgerow Data'!$B$3:$B$14,0),MATCH(M18,'G-6 Hedgerow Data'!$S$2:$AE$2,0)),INDEX('G-6 Hedgerow Data'!$K$3:$Q$14,MATCH(M18,'G-6 Hedgerow Data'!$B$3:$B$14,0),MATCH(O18,'G-6 Hedgerow Data'!$K$2:$Q$2,0)))),"")</f>
        <v>5</v>
      </c>
      <c r="Y18" s="159"/>
      <c r="Z18" s="159"/>
      <c r="AA18" s="370" t="str">
        <f t="shared" ca="1" si="3"/>
        <v>Standard time to target condition applied</v>
      </c>
      <c r="AB18" s="383">
        <f t="shared" ca="1" si="4"/>
        <v>5</v>
      </c>
      <c r="AC18" s="384">
        <f t="shared" ca="1" si="0"/>
        <v>0.83682870060000003</v>
      </c>
      <c r="AD18" s="398" t="str">
        <f>IF(M18="","",VLOOKUP(M18,'G-6 Hedgerow Data'!$B$3:$AG$15,31,FALSE))</f>
        <v>Low</v>
      </c>
      <c r="AE18" s="370" t="str">
        <f t="shared" ca="1" si="5"/>
        <v>Standard difficulty applied</v>
      </c>
      <c r="AF18" s="370" t="str">
        <f t="shared" ca="1" si="6"/>
        <v>Low</v>
      </c>
      <c r="AG18" s="386">
        <f ca="1">IFERROR(IF(O18="","",VLOOKUP(AD18,'G-3 Multipliers'!$P$3:$Q$6,2,FALSE)),"")</f>
        <v>1</v>
      </c>
      <c r="AH18" s="376">
        <f t="shared" ca="1" si="7"/>
        <v>0.30417883281936003</v>
      </c>
      <c r="AI18" s="188"/>
      <c r="AJ18" s="118"/>
      <c r="AK18" s="120"/>
      <c r="AT18" s="30" t="str">
        <f>IFERROR(INDEX('G-6 Hedgerow Data'!$BJ$3:$BJ$15,MATCH(M18,'G-6 Hedgerow Data'!$B$3:$B$15,0)),"")</f>
        <v>Hedgecond1</v>
      </c>
    </row>
    <row r="19" spans="2:46" ht="28.5" x14ac:dyDescent="0.2">
      <c r="B19" s="392">
        <f>'B-1 On-Site Hedge Baseline'!AK17</f>
        <v>12</v>
      </c>
      <c r="C19" s="382" t="str">
        <f ca="1">IF(B19="","",IF(ISNA(VLOOKUP($B19,'B-1 On-Site Hedge Baseline'!$B$1:$L$257,3,FALSE)),"",(VLOOKUP($B19,'B-1 On-Site Hedge Baseline'!$B$1:$L$257,3,FALSE))))</f>
        <v>Native hedgerow</v>
      </c>
      <c r="D19" s="382">
        <f ca="1">IF(B19="","",IF(ISNA(VLOOKUP($B19,'B-1 On-Site Hedge Baseline'!$B$1:$L$257,4,FALSE)),"",(VLOOKUP($B19,'B-1 On-Site Hedge Baseline'!$B$1:$L$257,4,FALSE))))</f>
        <v>0.33150000000000002</v>
      </c>
      <c r="E19" s="382" t="str">
        <f ca="1">IF(B19="","",IF(ISNA(VLOOKUP($B19,'B-1 On-Site Hedge Baseline'!$B$1:$L$257,5,FALSE)),"",(VLOOKUP($B19,'B-1 On-Site Hedge Baseline'!$B$1:$L$257,5,FALSE))))</f>
        <v>Low</v>
      </c>
      <c r="F19" s="382">
        <f ca="1">IF(B19="","",IF(ISNA(VLOOKUP($B19,'B-1 On-Site Hedge Baseline'!$B$1:$L$257,6,FALSE)),"",(VLOOKUP($B19,'B-1 On-Site Hedge Baseline'!$B$1:$L$257,6,FALSE))))</f>
        <v>2</v>
      </c>
      <c r="G19" s="382" t="str">
        <f ca="1">IF(B19="","",IF(ISNA(VLOOKUP($B19,'B-1 On-Site Hedge Baseline'!$B$1:$L$257,7,FALSE)),"",(VLOOKUP($B19,'B-1 On-Site Hedge Baseline'!$B$1:$L$257,7,FALSE))))</f>
        <v>Moderate</v>
      </c>
      <c r="H19" s="382">
        <f ca="1">IF(B19="","",IF(ISNA(VLOOKUP($B19,'B-1 On-Site Hedge Baseline'!$B$1:$L$257,8,FALSE)),"",(VLOOKUP($B19,'B-1 On-Site Hedge Baseline'!$B$1:$L$257,8,FALSE))))</f>
        <v>2</v>
      </c>
      <c r="I19" s="382" t="str">
        <f ca="1">IF(B19="","",IF(ISNA(VLOOKUP($B19,'B-1 On-Site Hedge Baseline'!$B$1:$L$257,10,FALSE)),"",(VLOOKUP($B19,'B-1 On-Site Hedge Baseline'!$B$1:$L$257,10,FALSE))))</f>
        <v>Low Strategic Significance</v>
      </c>
      <c r="J19" s="382">
        <f ca="1">IF(B19="","",IF(ISNA(VLOOKUP($B19,'B-1 On-Site Hedge Baseline'!$B$1:$L$257,11,FALSE)),"",(VLOOKUP($B19,'B-1 On-Site Hedge Baseline'!$B$1:$L$257,11,FALSE))))</f>
        <v>1</v>
      </c>
      <c r="K19" s="382">
        <f ca="1">IF(B19="","",IF(ISNA(VLOOKUP($B19,'B-1 On-Site Hedge Baseline'!$B$1:$U$257,13,FALSE)),"",(VLOOKUP($B19,'B-1 On-Site Hedge Baseline'!$B$1:$U$257,13,FALSE))))</f>
        <v>1.3260000000000001</v>
      </c>
      <c r="L19" s="386" t="str">
        <f ca="1">IF(B19="","",IF(ISNA(VLOOKUP($B19,'B-1 On-Site Hedge Baseline'!$B$1:$U$257,12,FALSE)),"",(VLOOKUP($B19,'B-1 On-Site Hedge Baseline'!$B$1:$U$257,12,FALSE))))</f>
        <v>Same distinctiveness band or better</v>
      </c>
      <c r="M19" s="315" t="s">
        <v>171</v>
      </c>
      <c r="N19" s="362" t="str">
        <f ca="1">IFERROR(IF(B19="","",INDEX('G-6 Hedgerow Data'!$AN$3:$AZ$15,MATCH(C19,'G-6 Hedgerow Data'!$AM$3:$AM$15,0),MATCH(M19,'G-6 Hedgerow Data'!$AN$2:$AZ$2,0))),"")</f>
        <v>Low - Medium</v>
      </c>
      <c r="O19" s="363" t="str">
        <f t="shared" ca="1" si="2"/>
        <v>Lower Distinctiveness Habitat - Good</v>
      </c>
      <c r="P19" s="417">
        <f>IF(B19="","",VLOOKUP(B19,'B-1 On-Site Hedge Baseline'!$B$10:T264,16,FALSE))</f>
        <v>0.33150000000000002</v>
      </c>
      <c r="Q19" s="362" t="str">
        <f>IF(M19="","",VLOOKUP(M19,'G-6 Hedgerow Data'!$B$2:$AG$15,2,FALSE))</f>
        <v>Medium</v>
      </c>
      <c r="R19" s="363">
        <f>IF(M19="","",VLOOKUP(M19,'G-6 Hedgerow Data'!$B$2:$AG$15,3,FALSE))</f>
        <v>4</v>
      </c>
      <c r="S19" s="55" t="s">
        <v>68</v>
      </c>
      <c r="T19" s="401">
        <f>IFERROR(VLOOKUP(S19,'G-1 All Habitats'!$Z$2:$AA$9,2,FALSE),"")</f>
        <v>3</v>
      </c>
      <c r="U19" s="114" t="s">
        <v>1037</v>
      </c>
      <c r="V19" s="382" t="str">
        <f>IF(U19="","",IF(VLOOKUP(U19,'G-3 Multipliers'!$L$3:$N$6,2,FALSE)=0,"Spatial Data Missing ⚠",VLOOKUP(U19,'G-3 Multipliers'!$L$3:$N$6,2,FALSE)))</f>
        <v>Low Strategic Significance</v>
      </c>
      <c r="W19" s="386">
        <f>IF(U19="","",IF(VLOOKUP(U19,'G-3 Multipliers'!$L$3:$N$6,3,FALSE)=0,"Spatial Data Missing ⚠",VLOOKUP(U19,'G-3 Multipliers'!$L$3:$N$6,3,FALSE)))</f>
        <v>1</v>
      </c>
      <c r="X19" s="362">
        <f ca="1">IFERROR(IF(OR(LEFT(O19,5)="Error",LEFT(N19,5)="Error",T19="Error"),"Check Data ⚠",IF(F19&lt;R19,INDEX('G-6 Hedgerow Data'!$S$3:$AE$14,MATCH(C19,'G-6 Hedgerow Data'!$B$3:$B$14,0),MATCH(M19,'G-6 Hedgerow Data'!$S$2:$AE$2,0)),INDEX('G-6 Hedgerow Data'!$K$3:$Q$14,MATCH(M19,'G-6 Hedgerow Data'!$B$3:$B$14,0),MATCH(O19,'G-6 Hedgerow Data'!$K$2:$Q$2,0)))),"")</f>
        <v>5</v>
      </c>
      <c r="Y19" s="159"/>
      <c r="Z19" s="159"/>
      <c r="AA19" s="370" t="str">
        <f t="shared" ca="1" si="3"/>
        <v>Standard time to target condition applied</v>
      </c>
      <c r="AB19" s="383">
        <f t="shared" ca="1" si="4"/>
        <v>5</v>
      </c>
      <c r="AC19" s="384">
        <f t="shared" ca="1" si="0"/>
        <v>0.83682870060000003</v>
      </c>
      <c r="AD19" s="398" t="str">
        <f>IF(M19="","",VLOOKUP(M19,'G-6 Hedgerow Data'!$B$3:$AG$15,31,FALSE))</f>
        <v>Low</v>
      </c>
      <c r="AE19" s="370" t="str">
        <f t="shared" ca="1" si="5"/>
        <v>Standard difficulty applied</v>
      </c>
      <c r="AF19" s="370" t="str">
        <f t="shared" ca="1" si="6"/>
        <v>Low</v>
      </c>
      <c r="AG19" s="386">
        <f ca="1">IFERROR(IF(O19="","",VLOOKUP(AD19,'G-3 Multipliers'!$P$3:$Q$6,2,FALSE)),"")</f>
        <v>1</v>
      </c>
      <c r="AH19" s="376">
        <f t="shared" ca="1" si="7"/>
        <v>3.5452697139912002</v>
      </c>
      <c r="AI19" s="188"/>
      <c r="AJ19" s="118"/>
      <c r="AK19" s="120"/>
      <c r="AT19" s="30" t="str">
        <f>IFERROR(INDEX('G-6 Hedgerow Data'!$BJ$3:$BJ$15,MATCH(M19,'G-6 Hedgerow Data'!$B$3:$B$15,0)),"")</f>
        <v>Hedgecond1</v>
      </c>
    </row>
    <row r="20" spans="2:46" ht="28.5" x14ac:dyDescent="0.2">
      <c r="B20" s="392">
        <f>'B-1 On-Site Hedge Baseline'!AK18</f>
        <v>13</v>
      </c>
      <c r="C20" s="382" t="str">
        <f ca="1">IF(B20="","",IF(ISNA(VLOOKUP($B20,'B-1 On-Site Hedge Baseline'!$B$1:$L$257,3,FALSE)),"",(VLOOKUP($B20,'B-1 On-Site Hedge Baseline'!$B$1:$L$257,3,FALSE))))</f>
        <v>Native hedgerow with trees</v>
      </c>
      <c r="D20" s="382">
        <f ca="1">IF(B20="","",IF(ISNA(VLOOKUP($B20,'B-1 On-Site Hedge Baseline'!$B$1:$L$257,4,FALSE)),"",(VLOOKUP($B20,'B-1 On-Site Hedge Baseline'!$B$1:$L$257,4,FALSE))))</f>
        <v>5.0099999999999999E-2</v>
      </c>
      <c r="E20" s="382" t="str">
        <f ca="1">IF(B20="","",IF(ISNA(VLOOKUP($B20,'B-1 On-Site Hedge Baseline'!$B$1:$L$257,5,FALSE)),"",(VLOOKUP($B20,'B-1 On-Site Hedge Baseline'!$B$1:$L$257,5,FALSE))))</f>
        <v>Medium</v>
      </c>
      <c r="F20" s="382">
        <f ca="1">IF(B20="","",IF(ISNA(VLOOKUP($B20,'B-1 On-Site Hedge Baseline'!$B$1:$L$257,6,FALSE)),"",(VLOOKUP($B20,'B-1 On-Site Hedge Baseline'!$B$1:$L$257,6,FALSE))))</f>
        <v>4</v>
      </c>
      <c r="G20" s="382" t="str">
        <f ca="1">IF(B20="","",IF(ISNA(VLOOKUP($B20,'B-1 On-Site Hedge Baseline'!$B$1:$L$257,7,FALSE)),"",(VLOOKUP($B20,'B-1 On-Site Hedge Baseline'!$B$1:$L$257,7,FALSE))))</f>
        <v>Moderate</v>
      </c>
      <c r="H20" s="382">
        <f ca="1">IF(B20="","",IF(ISNA(VLOOKUP($B20,'B-1 On-Site Hedge Baseline'!$B$1:$L$257,8,FALSE)),"",(VLOOKUP($B20,'B-1 On-Site Hedge Baseline'!$B$1:$L$257,8,FALSE))))</f>
        <v>2</v>
      </c>
      <c r="I20" s="382" t="str">
        <f ca="1">IF(B20="","",IF(ISNA(VLOOKUP($B20,'B-1 On-Site Hedge Baseline'!$B$1:$L$257,10,FALSE)),"",(VLOOKUP($B20,'B-1 On-Site Hedge Baseline'!$B$1:$L$257,10,FALSE))))</f>
        <v>Low Strategic Significance</v>
      </c>
      <c r="J20" s="382">
        <f ca="1">IF(B20="","",IF(ISNA(VLOOKUP($B20,'B-1 On-Site Hedge Baseline'!$B$1:$L$257,11,FALSE)),"",(VLOOKUP($B20,'B-1 On-Site Hedge Baseline'!$B$1:$L$257,11,FALSE))))</f>
        <v>1</v>
      </c>
      <c r="K20" s="382">
        <f ca="1">IF(B20="","",IF(ISNA(VLOOKUP($B20,'B-1 On-Site Hedge Baseline'!$B$1:$U$257,13,FALSE)),"",(VLOOKUP($B20,'B-1 On-Site Hedge Baseline'!$B$1:$U$257,13,FALSE))))</f>
        <v>0.40079999999999999</v>
      </c>
      <c r="L20" s="386" t="str">
        <f ca="1">IF(B20="","",IF(ISNA(VLOOKUP($B20,'B-1 On-Site Hedge Baseline'!$B$1:$U$257,12,FALSE)),"",(VLOOKUP($B20,'B-1 On-Site Hedge Baseline'!$B$1:$U$257,12,FALSE))))</f>
        <v>Same distinctiveness band or better</v>
      </c>
      <c r="M20" s="315" t="s">
        <v>168</v>
      </c>
      <c r="N20" s="362" t="str">
        <f ca="1">IFERROR(IF(B20="","",INDEX('G-6 Hedgerow Data'!$AN$3:$AZ$15,MATCH(C20,'G-6 Hedgerow Data'!$AM$3:$AM$15,0),MATCH(M20,'G-6 Hedgerow Data'!$AN$2:$AZ$2,0))),"")</f>
        <v>Medium - High</v>
      </c>
      <c r="O20" s="363" t="str">
        <f t="shared" ca="1" si="2"/>
        <v>Lower Distinctiveness Habitat - Good</v>
      </c>
      <c r="P20" s="417">
        <f>IF(B20="","",VLOOKUP(B20,'B-1 On-Site Hedge Baseline'!$B$10:T265,16,FALSE))</f>
        <v>5.0099999999999999E-2</v>
      </c>
      <c r="Q20" s="362" t="str">
        <f>IF(M20="","",VLOOKUP(M20,'G-6 Hedgerow Data'!$B$2:$AG$15,2,FALSE))</f>
        <v>High</v>
      </c>
      <c r="R20" s="363">
        <f>IF(M20="","",VLOOKUP(M20,'G-6 Hedgerow Data'!$B$2:$AG$15,3,FALSE))</f>
        <v>6</v>
      </c>
      <c r="S20" s="55" t="s">
        <v>68</v>
      </c>
      <c r="T20" s="401">
        <f>IFERROR(VLOOKUP(S20,'G-1 All Habitats'!$Z$2:$AA$9,2,FALSE),"")</f>
        <v>3</v>
      </c>
      <c r="U20" s="114" t="s">
        <v>1037</v>
      </c>
      <c r="V20" s="382" t="str">
        <f>IF(U20="","",IF(VLOOKUP(U20,'G-3 Multipliers'!$L$3:$N$6,2,FALSE)=0,"Spatial Data Missing ⚠",VLOOKUP(U20,'G-3 Multipliers'!$L$3:$N$6,2,FALSE)))</f>
        <v>Low Strategic Significance</v>
      </c>
      <c r="W20" s="386">
        <f>IF(U20="","",IF(VLOOKUP(U20,'G-3 Multipliers'!$L$3:$N$6,3,FALSE)=0,"Spatial Data Missing ⚠",VLOOKUP(U20,'G-3 Multipliers'!$L$3:$N$6,3,FALSE)))</f>
        <v>1</v>
      </c>
      <c r="X20" s="362">
        <f ca="1">IFERROR(IF(OR(LEFT(O20,5)="Error",LEFT(N20,5)="Error",T20="Error"),"Check Data ⚠",IF(F20&lt;R20,INDEX('G-6 Hedgerow Data'!$S$3:$AE$14,MATCH(C20,'G-6 Hedgerow Data'!$B$3:$B$14,0),MATCH(M20,'G-6 Hedgerow Data'!$S$2:$AE$2,0)),INDEX('G-6 Hedgerow Data'!$K$3:$Q$14,MATCH(M20,'G-6 Hedgerow Data'!$B$3:$B$14,0),MATCH(O20,'G-6 Hedgerow Data'!$K$2:$Q$2,0)))),"")</f>
        <v>5</v>
      </c>
      <c r="Y20" s="159"/>
      <c r="Z20" s="159"/>
      <c r="AA20" s="370" t="str">
        <f t="shared" ca="1" si="3"/>
        <v>Standard time to target condition applied</v>
      </c>
      <c r="AB20" s="383">
        <f t="shared" ca="1" si="4"/>
        <v>5</v>
      </c>
      <c r="AC20" s="384">
        <f t="shared" ca="1" si="0"/>
        <v>0.83682870060000003</v>
      </c>
      <c r="AD20" s="398" t="str">
        <f>IF(M20="","",VLOOKUP(M20,'G-6 Hedgerow Data'!$B$3:$AG$15,31,FALSE))</f>
        <v>Low</v>
      </c>
      <c r="AE20" s="370" t="str">
        <f t="shared" ca="1" si="5"/>
        <v>Standard difficulty applied</v>
      </c>
      <c r="AF20" s="370" t="str">
        <f t="shared" ca="1" si="6"/>
        <v>Low</v>
      </c>
      <c r="AG20" s="386">
        <f ca="1">IFERROR(IF(O20="","",VLOOKUP(AD20,'G-3 Multipliers'!$P$3:$Q$6,2,FALSE)),"")</f>
        <v>1</v>
      </c>
      <c r="AH20" s="376">
        <f t="shared" ca="1" si="7"/>
        <v>0.82005117900059998</v>
      </c>
      <c r="AI20" s="188"/>
      <c r="AJ20" s="118"/>
      <c r="AK20" s="120"/>
      <c r="AT20" s="30" t="str">
        <f>IFERROR(INDEX('G-6 Hedgerow Data'!$BJ$3:$BJ$15,MATCH(M20,'G-6 Hedgerow Data'!$B$3:$B$15,0)),"")</f>
        <v>Hedgecond1</v>
      </c>
    </row>
    <row r="21" spans="2:46" ht="28.5" x14ac:dyDescent="0.2">
      <c r="B21" s="392">
        <f>'B-1 On-Site Hedge Baseline'!AK19</f>
        <v>14</v>
      </c>
      <c r="C21" s="382" t="str">
        <f ca="1">IF(B21="","",IF(ISNA(VLOOKUP($B21,'B-1 On-Site Hedge Baseline'!$B$1:$L$257,3,FALSE)),"",(VLOOKUP($B21,'B-1 On-Site Hedge Baseline'!$B$1:$L$257,3,FALSE))))</f>
        <v>Species-rich native hedgerow</v>
      </c>
      <c r="D21" s="382">
        <f ca="1">IF(B21="","",IF(ISNA(VLOOKUP($B21,'B-1 On-Site Hedge Baseline'!$B$1:$L$257,4,FALSE)),"",(VLOOKUP($B21,'B-1 On-Site Hedge Baseline'!$B$1:$L$257,4,FALSE))))</f>
        <v>0.33510000000000001</v>
      </c>
      <c r="E21" s="382" t="str">
        <f ca="1">IF(B21="","",IF(ISNA(VLOOKUP($B21,'B-1 On-Site Hedge Baseline'!$B$1:$L$257,5,FALSE)),"",(VLOOKUP($B21,'B-1 On-Site Hedge Baseline'!$B$1:$L$257,5,FALSE))))</f>
        <v>Medium</v>
      </c>
      <c r="F21" s="382">
        <f ca="1">IF(B21="","",IF(ISNA(VLOOKUP($B21,'B-1 On-Site Hedge Baseline'!$B$1:$L$257,6,FALSE)),"",(VLOOKUP($B21,'B-1 On-Site Hedge Baseline'!$B$1:$L$257,6,FALSE))))</f>
        <v>4</v>
      </c>
      <c r="G21" s="382" t="str">
        <f ca="1">IF(B21="","",IF(ISNA(VLOOKUP($B21,'B-1 On-Site Hedge Baseline'!$B$1:$L$257,7,FALSE)),"",(VLOOKUP($B21,'B-1 On-Site Hedge Baseline'!$B$1:$L$257,7,FALSE))))</f>
        <v>Moderate</v>
      </c>
      <c r="H21" s="382">
        <f ca="1">IF(B21="","",IF(ISNA(VLOOKUP($B21,'B-1 On-Site Hedge Baseline'!$B$1:$L$257,8,FALSE)),"",(VLOOKUP($B21,'B-1 On-Site Hedge Baseline'!$B$1:$L$257,8,FALSE))))</f>
        <v>2</v>
      </c>
      <c r="I21" s="382" t="str">
        <f ca="1">IF(B21="","",IF(ISNA(VLOOKUP($B21,'B-1 On-Site Hedge Baseline'!$B$1:$L$257,10,FALSE)),"",(VLOOKUP($B21,'B-1 On-Site Hedge Baseline'!$B$1:$L$257,10,FALSE))))</f>
        <v>Low Strategic Significance</v>
      </c>
      <c r="J21" s="382">
        <f ca="1">IF(B21="","",IF(ISNA(VLOOKUP($B21,'B-1 On-Site Hedge Baseline'!$B$1:$L$257,11,FALSE)),"",(VLOOKUP($B21,'B-1 On-Site Hedge Baseline'!$B$1:$L$257,11,FALSE))))</f>
        <v>1</v>
      </c>
      <c r="K21" s="382">
        <f ca="1">IF(B21="","",IF(ISNA(VLOOKUP($B21,'B-1 On-Site Hedge Baseline'!$B$1:$U$257,13,FALSE)),"",(VLOOKUP($B21,'B-1 On-Site Hedge Baseline'!$B$1:$U$257,13,FALSE))))</f>
        <v>2.6808000000000001</v>
      </c>
      <c r="L21" s="386" t="str">
        <f ca="1">IF(B21="","",IF(ISNA(VLOOKUP($B21,'B-1 On-Site Hedge Baseline'!$B$1:$U$257,12,FALSE)),"",(VLOOKUP($B21,'B-1 On-Site Hedge Baseline'!$B$1:$U$257,12,FALSE))))</f>
        <v>Same distinctiveness band or better</v>
      </c>
      <c r="M21" s="315" t="str">
        <f t="shared" ca="1" si="1"/>
        <v>Species-rich native hedgerow</v>
      </c>
      <c r="N21" s="362" t="str">
        <f ca="1">IFERROR(IF(B21="","",INDEX('G-6 Hedgerow Data'!$AN$3:$AZ$15,MATCH(C21,'G-6 Hedgerow Data'!$AM$3:$AM$15,0),MATCH(M21,'G-6 Hedgerow Data'!$AN$2:$AZ$2,0))),"")</f>
        <v>Medium - Medium</v>
      </c>
      <c r="O21" s="363" t="str">
        <f t="shared" ca="1" si="2"/>
        <v>Moderate - Good</v>
      </c>
      <c r="P21" s="417">
        <f>IF(B21="","",VLOOKUP(B21,'B-1 On-Site Hedge Baseline'!$B$10:T266,16,FALSE))</f>
        <v>0.25190000000000001</v>
      </c>
      <c r="Q21" s="362" t="str">
        <f ca="1">IF(M21="","",VLOOKUP(M21,'G-6 Hedgerow Data'!$B$2:$AG$15,2,FALSE))</f>
        <v>Medium</v>
      </c>
      <c r="R21" s="363">
        <f ca="1">IF(M21="","",VLOOKUP(M21,'G-6 Hedgerow Data'!$B$2:$AG$15,3,FALSE))</f>
        <v>4</v>
      </c>
      <c r="S21" s="55" t="s">
        <v>68</v>
      </c>
      <c r="T21" s="401">
        <f>IFERROR(VLOOKUP(S21,'G-1 All Habitats'!$Z$2:$AA$9,2,FALSE),"")</f>
        <v>3</v>
      </c>
      <c r="U21" s="114" t="s">
        <v>1037</v>
      </c>
      <c r="V21" s="382" t="str">
        <f>IF(U21="","",IF(VLOOKUP(U21,'G-3 Multipliers'!$L$3:$N$6,2,FALSE)=0,"Spatial Data Missing ⚠",VLOOKUP(U21,'G-3 Multipliers'!$L$3:$N$6,2,FALSE)))</f>
        <v>Low Strategic Significance</v>
      </c>
      <c r="W21" s="386">
        <f>IF(U21="","",IF(VLOOKUP(U21,'G-3 Multipliers'!$L$3:$N$6,3,FALSE)=0,"Spatial Data Missing ⚠",VLOOKUP(U21,'G-3 Multipliers'!$L$3:$N$6,3,FALSE)))</f>
        <v>1</v>
      </c>
      <c r="X21" s="362">
        <f ca="1">IFERROR(IF(OR(LEFT(O21,5)="Error",LEFT(N21,5)="Error",T21="Error"),"Check Data ⚠",IF(F21&lt;R21,INDEX('G-6 Hedgerow Data'!$S$3:$AE$14,MATCH(C21,'G-6 Hedgerow Data'!$B$3:$B$14,0),MATCH(M21,'G-6 Hedgerow Data'!$S$2:$AE$2,0)),INDEX('G-6 Hedgerow Data'!$K$3:$Q$14,MATCH(M21,'G-6 Hedgerow Data'!$B$3:$B$14,0),MATCH(O21,'G-6 Hedgerow Data'!$K$2:$Q$2,0)))),"")</f>
        <v>2</v>
      </c>
      <c r="Y21" s="159"/>
      <c r="Z21" s="159"/>
      <c r="AA21" s="370" t="str">
        <f t="shared" ca="1" si="3"/>
        <v>Standard time to target condition applied</v>
      </c>
      <c r="AB21" s="383">
        <f t="shared" ca="1" si="4"/>
        <v>2</v>
      </c>
      <c r="AC21" s="384">
        <f t="shared" ca="1" si="0"/>
        <v>0.93122499999999997</v>
      </c>
      <c r="AD21" s="398" t="str">
        <f ca="1">IF(M21="","",VLOOKUP(M21,'G-6 Hedgerow Data'!$B$3:$AG$15,31,FALSE))</f>
        <v>Low</v>
      </c>
      <c r="AE21" s="370" t="str">
        <f t="shared" ca="1" si="5"/>
        <v>Standard difficulty applied</v>
      </c>
      <c r="AF21" s="370" t="str">
        <f t="shared" ca="1" si="6"/>
        <v>Low</v>
      </c>
      <c r="AG21" s="386">
        <f ca="1">IFERROR(IF(O21="","",VLOOKUP(AD21,'G-3 Multipliers'!$P$3:$Q$6,2,FALSE)),"")</f>
        <v>1</v>
      </c>
      <c r="AH21" s="376">
        <f t="shared" ca="1" si="7"/>
        <v>2.9535023100000002</v>
      </c>
      <c r="AI21" s="188"/>
      <c r="AJ21" s="118"/>
      <c r="AK21" s="120"/>
      <c r="AT21" s="30" t="str">
        <f ca="1">IFERROR(INDEX('G-6 Hedgerow Data'!$BJ$3:$BJ$15,MATCH(M21,'G-6 Hedgerow Data'!$B$3:$B$15,0)),"")</f>
        <v>Hedgecond1</v>
      </c>
    </row>
    <row r="22" spans="2:46" ht="28.5" x14ac:dyDescent="0.2">
      <c r="B22" s="392">
        <f>'B-1 On-Site Hedge Baseline'!AK20</f>
        <v>15</v>
      </c>
      <c r="C22" s="382" t="str">
        <f ca="1">IF(B22="","",IF(ISNA(VLOOKUP($B22,'B-1 On-Site Hedge Baseline'!$B$1:$L$257,3,FALSE)),"",(VLOOKUP($B22,'B-1 On-Site Hedge Baseline'!$B$1:$L$257,3,FALSE))))</f>
        <v>Species-rich native hedgerow</v>
      </c>
      <c r="D22" s="382">
        <f ca="1">IF(B22="","",IF(ISNA(VLOOKUP($B22,'B-1 On-Site Hedge Baseline'!$B$1:$L$257,4,FALSE)),"",(VLOOKUP($B22,'B-1 On-Site Hedge Baseline'!$B$1:$L$257,4,FALSE))))</f>
        <v>0.2261</v>
      </c>
      <c r="E22" s="382" t="str">
        <f ca="1">IF(B22="","",IF(ISNA(VLOOKUP($B22,'B-1 On-Site Hedge Baseline'!$B$1:$L$257,5,FALSE)),"",(VLOOKUP($B22,'B-1 On-Site Hedge Baseline'!$B$1:$L$257,5,FALSE))))</f>
        <v>Medium</v>
      </c>
      <c r="F22" s="382">
        <f ca="1">IF(B22="","",IF(ISNA(VLOOKUP($B22,'B-1 On-Site Hedge Baseline'!$B$1:$L$257,6,FALSE)),"",(VLOOKUP($B22,'B-1 On-Site Hedge Baseline'!$B$1:$L$257,6,FALSE))))</f>
        <v>4</v>
      </c>
      <c r="G22" s="382" t="str">
        <f ca="1">IF(B22="","",IF(ISNA(VLOOKUP($B22,'B-1 On-Site Hedge Baseline'!$B$1:$L$257,7,FALSE)),"",(VLOOKUP($B22,'B-1 On-Site Hedge Baseline'!$B$1:$L$257,7,FALSE))))</f>
        <v>Good</v>
      </c>
      <c r="H22" s="382">
        <f ca="1">IF(B22="","",IF(ISNA(VLOOKUP($B22,'B-1 On-Site Hedge Baseline'!$B$1:$L$257,8,FALSE)),"",(VLOOKUP($B22,'B-1 On-Site Hedge Baseline'!$B$1:$L$257,8,FALSE))))</f>
        <v>3</v>
      </c>
      <c r="I22" s="382" t="str">
        <f ca="1">IF(B22="","",IF(ISNA(VLOOKUP($B22,'B-1 On-Site Hedge Baseline'!$B$1:$L$257,10,FALSE)),"",(VLOOKUP($B22,'B-1 On-Site Hedge Baseline'!$B$1:$L$257,10,FALSE))))</f>
        <v>Low Strategic Significance</v>
      </c>
      <c r="J22" s="382">
        <f ca="1">IF(B22="","",IF(ISNA(VLOOKUP($B22,'B-1 On-Site Hedge Baseline'!$B$1:$L$257,11,FALSE)),"",(VLOOKUP($B22,'B-1 On-Site Hedge Baseline'!$B$1:$L$257,11,FALSE))))</f>
        <v>1</v>
      </c>
      <c r="K22" s="382">
        <f ca="1">IF(B22="","",IF(ISNA(VLOOKUP($B22,'B-1 On-Site Hedge Baseline'!$B$1:$U$257,13,FALSE)),"",(VLOOKUP($B22,'B-1 On-Site Hedge Baseline'!$B$1:$U$257,13,FALSE))))</f>
        <v>2.7132000000000001</v>
      </c>
      <c r="L22" s="386" t="str">
        <f ca="1">IF(B22="","",IF(ISNA(VLOOKUP($B22,'B-1 On-Site Hedge Baseline'!$B$1:$U$257,12,FALSE)),"",(VLOOKUP($B22,'B-1 On-Site Hedge Baseline'!$B$1:$U$257,12,FALSE))))</f>
        <v>Same distinctiveness band or better</v>
      </c>
      <c r="M22" s="315" t="s">
        <v>168</v>
      </c>
      <c r="N22" s="362" t="str">
        <f ca="1">IFERROR(IF(B22="","",INDEX('G-6 Hedgerow Data'!$AN$3:$AZ$15,MATCH(C22,'G-6 Hedgerow Data'!$AM$3:$AM$15,0),MATCH(M22,'G-6 Hedgerow Data'!$AN$2:$AZ$2,0))),"")</f>
        <v>Medium - High</v>
      </c>
      <c r="O22" s="363" t="str">
        <f t="shared" ca="1" si="2"/>
        <v>Lower Distinctiveness Habitat - Good</v>
      </c>
      <c r="P22" s="417">
        <f>IF(B22="","",VLOOKUP(B22,'B-1 On-Site Hedge Baseline'!$B$10:T267,16,FALSE))</f>
        <v>0.221</v>
      </c>
      <c r="Q22" s="362" t="str">
        <f>IF(M22="","",VLOOKUP(M22,'G-6 Hedgerow Data'!$B$2:$AG$15,2,FALSE))</f>
        <v>High</v>
      </c>
      <c r="R22" s="363">
        <f>IF(M22="","",VLOOKUP(M22,'G-6 Hedgerow Data'!$B$2:$AG$15,3,FALSE))</f>
        <v>6</v>
      </c>
      <c r="S22" s="55" t="s">
        <v>68</v>
      </c>
      <c r="T22" s="401">
        <f>IFERROR(VLOOKUP(S22,'G-1 All Habitats'!$Z$2:$AA$9,2,FALSE),"")</f>
        <v>3</v>
      </c>
      <c r="U22" s="114" t="s">
        <v>1037</v>
      </c>
      <c r="V22" s="382" t="str">
        <f>IF(U22="","",IF(VLOOKUP(U22,'G-3 Multipliers'!$L$3:$N$6,2,FALSE)=0,"Spatial Data Missing ⚠",VLOOKUP(U22,'G-3 Multipliers'!$L$3:$N$6,2,FALSE)))</f>
        <v>Low Strategic Significance</v>
      </c>
      <c r="W22" s="386">
        <f>IF(U22="","",IF(VLOOKUP(U22,'G-3 Multipliers'!$L$3:$N$6,3,FALSE)=0,"Spatial Data Missing ⚠",VLOOKUP(U22,'G-3 Multipliers'!$L$3:$N$6,3,FALSE)))</f>
        <v>1</v>
      </c>
      <c r="X22" s="362">
        <f ca="1">IFERROR(IF(OR(LEFT(O22,5)="Error",LEFT(N22,5)="Error",T22="Error"),"Check Data ⚠",IF(F22&lt;R22,INDEX('G-6 Hedgerow Data'!$S$3:$AE$14,MATCH(C22,'G-6 Hedgerow Data'!$B$3:$B$14,0),MATCH(M22,'G-6 Hedgerow Data'!$S$2:$AE$2,0)),INDEX('G-6 Hedgerow Data'!$K$3:$Q$14,MATCH(M22,'G-6 Hedgerow Data'!$B$3:$B$14,0),MATCH(O22,'G-6 Hedgerow Data'!$K$2:$Q$2,0)))),"")</f>
        <v>10</v>
      </c>
      <c r="Y22" s="159"/>
      <c r="Z22" s="159"/>
      <c r="AA22" s="370" t="str">
        <f t="shared" ca="1" si="3"/>
        <v>Standard time to target condition applied</v>
      </c>
      <c r="AB22" s="383">
        <f t="shared" ca="1" si="4"/>
        <v>10</v>
      </c>
      <c r="AC22" s="384">
        <f t="shared" ca="1" si="0"/>
        <v>0.70028227419999989</v>
      </c>
      <c r="AD22" s="398" t="str">
        <f>IF(M22="","",VLOOKUP(M22,'G-6 Hedgerow Data'!$B$3:$AG$15,31,FALSE))</f>
        <v>Low</v>
      </c>
      <c r="AE22" s="370" t="str">
        <f t="shared" ca="1" si="5"/>
        <v>Standard difficulty applied</v>
      </c>
      <c r="AF22" s="370" t="str">
        <f t="shared" ca="1" si="6"/>
        <v>Low</v>
      </c>
      <c r="AG22" s="386">
        <f ca="1">IFERROR(IF(O22="","",VLOOKUP(AD22,'G-3 Multipliers'!$P$3:$Q$6,2,FALSE)),"")</f>
        <v>1</v>
      </c>
      <c r="AH22" s="376">
        <f t="shared" ca="1" si="7"/>
        <v>3.5805742955892002</v>
      </c>
      <c r="AI22" s="188"/>
      <c r="AJ22" s="118"/>
      <c r="AK22" s="120"/>
      <c r="AT22" s="30" t="str">
        <f>IFERROR(INDEX('G-6 Hedgerow Data'!$BJ$3:$BJ$15,MATCH(M22,'G-6 Hedgerow Data'!$B$3:$B$15,0)),"")</f>
        <v>Hedgecond1</v>
      </c>
    </row>
    <row r="23" spans="2:46" ht="28.5" x14ac:dyDescent="0.2">
      <c r="B23" s="392">
        <f>'B-1 On-Site Hedge Baseline'!AK21</f>
        <v>16</v>
      </c>
      <c r="C23" s="382" t="str">
        <f ca="1">IF(B23="","",IF(ISNA(VLOOKUP($B23,'B-1 On-Site Hedge Baseline'!$B$1:$L$257,3,FALSE)),"",(VLOOKUP($B23,'B-1 On-Site Hedge Baseline'!$B$1:$L$257,3,FALSE))))</f>
        <v>Species-rich native hedgerow</v>
      </c>
      <c r="D23" s="382">
        <f ca="1">IF(B23="","",IF(ISNA(VLOOKUP($B23,'B-1 On-Site Hedge Baseline'!$B$1:$L$257,4,FALSE)),"",(VLOOKUP($B23,'B-1 On-Site Hedge Baseline'!$B$1:$L$257,4,FALSE))))</f>
        <v>0.37119999999999997</v>
      </c>
      <c r="E23" s="382" t="str">
        <f ca="1">IF(B23="","",IF(ISNA(VLOOKUP($B23,'B-1 On-Site Hedge Baseline'!$B$1:$L$257,5,FALSE)),"",(VLOOKUP($B23,'B-1 On-Site Hedge Baseline'!$B$1:$L$257,5,FALSE))))</f>
        <v>Medium</v>
      </c>
      <c r="F23" s="382">
        <f ca="1">IF(B23="","",IF(ISNA(VLOOKUP($B23,'B-1 On-Site Hedge Baseline'!$B$1:$L$257,6,FALSE)),"",(VLOOKUP($B23,'B-1 On-Site Hedge Baseline'!$B$1:$L$257,6,FALSE))))</f>
        <v>4</v>
      </c>
      <c r="G23" s="382" t="str">
        <f ca="1">IF(B23="","",IF(ISNA(VLOOKUP($B23,'B-1 On-Site Hedge Baseline'!$B$1:$L$257,7,FALSE)),"",(VLOOKUP($B23,'B-1 On-Site Hedge Baseline'!$B$1:$L$257,7,FALSE))))</f>
        <v>Good</v>
      </c>
      <c r="H23" s="382">
        <f ca="1">IF(B23="","",IF(ISNA(VLOOKUP($B23,'B-1 On-Site Hedge Baseline'!$B$1:$L$257,8,FALSE)),"",(VLOOKUP($B23,'B-1 On-Site Hedge Baseline'!$B$1:$L$257,8,FALSE))))</f>
        <v>3</v>
      </c>
      <c r="I23" s="382" t="str">
        <f ca="1">IF(B23="","",IF(ISNA(VLOOKUP($B23,'B-1 On-Site Hedge Baseline'!$B$1:$L$257,10,FALSE)),"",(VLOOKUP($B23,'B-1 On-Site Hedge Baseline'!$B$1:$L$257,10,FALSE))))</f>
        <v>Low Strategic Significance</v>
      </c>
      <c r="J23" s="382">
        <f ca="1">IF(B23="","",IF(ISNA(VLOOKUP($B23,'B-1 On-Site Hedge Baseline'!$B$1:$L$257,11,FALSE)),"",(VLOOKUP($B23,'B-1 On-Site Hedge Baseline'!$B$1:$L$257,11,FALSE))))</f>
        <v>1</v>
      </c>
      <c r="K23" s="382">
        <f ca="1">IF(B23="","",IF(ISNA(VLOOKUP($B23,'B-1 On-Site Hedge Baseline'!$B$1:$U$257,13,FALSE)),"",(VLOOKUP($B23,'B-1 On-Site Hedge Baseline'!$B$1:$U$257,13,FALSE))))</f>
        <v>4.4543999999999997</v>
      </c>
      <c r="L23" s="386" t="str">
        <f ca="1">IF(B23="","",IF(ISNA(VLOOKUP($B23,'B-1 On-Site Hedge Baseline'!$B$1:$U$257,12,FALSE)),"",(VLOOKUP($B23,'B-1 On-Site Hedge Baseline'!$B$1:$U$257,12,FALSE))))</f>
        <v>Same distinctiveness band or better</v>
      </c>
      <c r="M23" s="315" t="s">
        <v>168</v>
      </c>
      <c r="N23" s="362" t="str">
        <f ca="1">IFERROR(IF(B23="","",INDEX('G-6 Hedgerow Data'!$AN$3:$AZ$15,MATCH(C23,'G-6 Hedgerow Data'!$AM$3:$AM$15,0),MATCH(M23,'G-6 Hedgerow Data'!$AN$2:$AZ$2,0))),"")</f>
        <v>Medium - High</v>
      </c>
      <c r="O23" s="363" t="str">
        <f t="shared" ca="1" si="2"/>
        <v>Lower Distinctiveness Habitat - Good</v>
      </c>
      <c r="P23" s="417">
        <f>IF(B23="","",VLOOKUP(B23,'B-1 On-Site Hedge Baseline'!$B$10:T268,16,FALSE))</f>
        <v>0.37119999999999997</v>
      </c>
      <c r="Q23" s="362" t="str">
        <f>IF(M23="","",VLOOKUP(M23,'G-6 Hedgerow Data'!$B$2:$AG$15,2,FALSE))</f>
        <v>High</v>
      </c>
      <c r="R23" s="363">
        <f>IF(M23="","",VLOOKUP(M23,'G-6 Hedgerow Data'!$B$2:$AG$15,3,FALSE))</f>
        <v>6</v>
      </c>
      <c r="S23" s="55" t="s">
        <v>68</v>
      </c>
      <c r="T23" s="401">
        <f>IFERROR(VLOOKUP(S23,'G-1 All Habitats'!$Z$2:$AA$9,2,FALSE),"")</f>
        <v>3</v>
      </c>
      <c r="U23" s="114" t="s">
        <v>1037</v>
      </c>
      <c r="V23" s="382" t="str">
        <f>IF(U23="","",IF(VLOOKUP(U23,'G-3 Multipliers'!$L$3:$N$6,2,FALSE)=0,"Spatial Data Missing ⚠",VLOOKUP(U23,'G-3 Multipliers'!$L$3:$N$6,2,FALSE)))</f>
        <v>Low Strategic Significance</v>
      </c>
      <c r="W23" s="386">
        <f>IF(U23="","",IF(VLOOKUP(U23,'G-3 Multipliers'!$L$3:$N$6,3,FALSE)=0,"Spatial Data Missing ⚠",VLOOKUP(U23,'G-3 Multipliers'!$L$3:$N$6,3,FALSE)))</f>
        <v>1</v>
      </c>
      <c r="X23" s="362">
        <f ca="1">IFERROR(IF(OR(LEFT(O23,5)="Error",LEFT(N23,5)="Error",T23="Error"),"Check Data ⚠",IF(F23&lt;R23,INDEX('G-6 Hedgerow Data'!$S$3:$AE$14,MATCH(C23,'G-6 Hedgerow Data'!$B$3:$B$14,0),MATCH(M23,'G-6 Hedgerow Data'!$S$2:$AE$2,0)),INDEX('G-6 Hedgerow Data'!$K$3:$Q$14,MATCH(M23,'G-6 Hedgerow Data'!$B$3:$B$14,0),MATCH(O23,'G-6 Hedgerow Data'!$K$2:$Q$2,0)))),"")</f>
        <v>10</v>
      </c>
      <c r="Y23" s="159"/>
      <c r="Z23" s="159"/>
      <c r="AA23" s="370" t="str">
        <f t="shared" ca="1" si="3"/>
        <v>Standard time to target condition applied</v>
      </c>
      <c r="AB23" s="383">
        <f t="shared" ca="1" si="4"/>
        <v>10</v>
      </c>
      <c r="AC23" s="384">
        <f t="shared" ca="1" si="0"/>
        <v>0.70028227419999989</v>
      </c>
      <c r="AD23" s="398" t="str">
        <f>IF(M23="","",VLOOKUP(M23,'G-6 Hedgerow Data'!$B$3:$AG$15,31,FALSE))</f>
        <v>Low</v>
      </c>
      <c r="AE23" s="370" t="str">
        <f t="shared" ca="1" si="5"/>
        <v>Standard difficulty applied</v>
      </c>
      <c r="AF23" s="370" t="str">
        <f t="shared" ca="1" si="6"/>
        <v>Low</v>
      </c>
      <c r="AG23" s="386">
        <f ca="1">IFERROR(IF(O23="","",VLOOKUP(AD23,'G-3 Multipliers'!$P$3:$Q$6,2,FALSE)),"")</f>
        <v>1</v>
      </c>
      <c r="AH23" s="376">
        <f t="shared" ca="1" si="7"/>
        <v>6.0140686810982391</v>
      </c>
      <c r="AI23" s="188"/>
      <c r="AJ23" s="118"/>
      <c r="AK23" s="120"/>
      <c r="AT23" s="30" t="str">
        <f>IFERROR(INDEX('G-6 Hedgerow Data'!$BJ$3:$BJ$15,MATCH(M23,'G-6 Hedgerow Data'!$B$3:$B$15,0)),"")</f>
        <v>Hedgecond1</v>
      </c>
    </row>
    <row r="24" spans="2:46" ht="28.5" x14ac:dyDescent="0.2">
      <c r="B24" s="392">
        <f>'B-1 On-Site Hedge Baseline'!AK22</f>
        <v>19</v>
      </c>
      <c r="C24" s="382" t="str">
        <f ca="1">IF(B24="","",IF(ISNA(VLOOKUP($B24,'B-1 On-Site Hedge Baseline'!$B$1:$L$257,3,FALSE)),"",(VLOOKUP($B24,'B-1 On-Site Hedge Baseline'!$B$1:$L$257,3,FALSE))))</f>
        <v>Species-rich native hedgerow</v>
      </c>
      <c r="D24" s="382">
        <f ca="1">IF(B24="","",IF(ISNA(VLOOKUP($B24,'B-1 On-Site Hedge Baseline'!$B$1:$L$257,4,FALSE)),"",(VLOOKUP($B24,'B-1 On-Site Hedge Baseline'!$B$1:$L$257,4,FALSE))))</f>
        <v>0.37880000000000003</v>
      </c>
      <c r="E24" s="382" t="str">
        <f ca="1">IF(B24="","",IF(ISNA(VLOOKUP($B24,'B-1 On-Site Hedge Baseline'!$B$1:$L$257,5,FALSE)),"",(VLOOKUP($B24,'B-1 On-Site Hedge Baseline'!$B$1:$L$257,5,FALSE))))</f>
        <v>Medium</v>
      </c>
      <c r="F24" s="382">
        <f ca="1">IF(B24="","",IF(ISNA(VLOOKUP($B24,'B-1 On-Site Hedge Baseline'!$B$1:$L$257,6,FALSE)),"",(VLOOKUP($B24,'B-1 On-Site Hedge Baseline'!$B$1:$L$257,6,FALSE))))</f>
        <v>4</v>
      </c>
      <c r="G24" s="382" t="str">
        <f ca="1">IF(B24="","",IF(ISNA(VLOOKUP($B24,'B-1 On-Site Hedge Baseline'!$B$1:$L$257,7,FALSE)),"",(VLOOKUP($B24,'B-1 On-Site Hedge Baseline'!$B$1:$L$257,7,FALSE))))</f>
        <v>Good</v>
      </c>
      <c r="H24" s="382">
        <f ca="1">IF(B24="","",IF(ISNA(VLOOKUP($B24,'B-1 On-Site Hedge Baseline'!$B$1:$L$257,8,FALSE)),"",(VLOOKUP($B24,'B-1 On-Site Hedge Baseline'!$B$1:$L$257,8,FALSE))))</f>
        <v>3</v>
      </c>
      <c r="I24" s="382" t="str">
        <f ca="1">IF(B24="","",IF(ISNA(VLOOKUP($B24,'B-1 On-Site Hedge Baseline'!$B$1:$L$257,10,FALSE)),"",(VLOOKUP($B24,'B-1 On-Site Hedge Baseline'!$B$1:$L$257,10,FALSE))))</f>
        <v>Low Strategic Significance</v>
      </c>
      <c r="J24" s="382">
        <f ca="1">IF(B24="","",IF(ISNA(VLOOKUP($B24,'B-1 On-Site Hedge Baseline'!$B$1:$L$257,11,FALSE)),"",(VLOOKUP($B24,'B-1 On-Site Hedge Baseline'!$B$1:$L$257,11,FALSE))))</f>
        <v>1</v>
      </c>
      <c r="K24" s="382">
        <f ca="1">IF(B24="","",IF(ISNA(VLOOKUP($B24,'B-1 On-Site Hedge Baseline'!$B$1:$U$257,13,FALSE)),"",(VLOOKUP($B24,'B-1 On-Site Hedge Baseline'!$B$1:$U$257,13,FALSE))))</f>
        <v>4.5456000000000003</v>
      </c>
      <c r="L24" s="386" t="str">
        <f ca="1">IF(B24="","",IF(ISNA(VLOOKUP($B24,'B-1 On-Site Hedge Baseline'!$B$1:$U$257,12,FALSE)),"",(VLOOKUP($B24,'B-1 On-Site Hedge Baseline'!$B$1:$U$257,12,FALSE))))</f>
        <v>Same distinctiveness band or better</v>
      </c>
      <c r="M24" s="315" t="s">
        <v>168</v>
      </c>
      <c r="N24" s="362" t="str">
        <f ca="1">IFERROR(IF(B24="","",INDEX('G-6 Hedgerow Data'!$AN$3:$AZ$15,MATCH(C24,'G-6 Hedgerow Data'!$AM$3:$AM$15,0),MATCH(M24,'G-6 Hedgerow Data'!$AN$2:$AZ$2,0))),"")</f>
        <v>Medium - High</v>
      </c>
      <c r="O24" s="363" t="str">
        <f t="shared" ca="1" si="2"/>
        <v>Lower Distinctiveness Habitat - Good</v>
      </c>
      <c r="P24" s="417">
        <f>IF(B24="","",VLOOKUP(B24,'B-1 On-Site Hedge Baseline'!$B$10:T269,16,FALSE))</f>
        <v>0.29870000000000002</v>
      </c>
      <c r="Q24" s="362" t="str">
        <f>IF(M24="","",VLOOKUP(M24,'G-6 Hedgerow Data'!$B$2:$AG$15,2,FALSE))</f>
        <v>High</v>
      </c>
      <c r="R24" s="363">
        <f>IF(M24="","",VLOOKUP(M24,'G-6 Hedgerow Data'!$B$2:$AG$15,3,FALSE))</f>
        <v>6</v>
      </c>
      <c r="S24" s="114" t="s">
        <v>68</v>
      </c>
      <c r="T24" s="401">
        <f>IFERROR(VLOOKUP(S24,'G-1 All Habitats'!$Z$2:$AA$9,2,FALSE),"")</f>
        <v>3</v>
      </c>
      <c r="U24" s="114" t="s">
        <v>1037</v>
      </c>
      <c r="V24" s="382" t="str">
        <f>IF(U24="","",IF(VLOOKUP(U24,'G-3 Multipliers'!$L$3:$N$6,2,FALSE)=0,"Spatial Data Missing ⚠",VLOOKUP(U24,'G-3 Multipliers'!$L$3:$N$6,2,FALSE)))</f>
        <v>Low Strategic Significance</v>
      </c>
      <c r="W24" s="386">
        <f>IF(U24="","",IF(VLOOKUP(U24,'G-3 Multipliers'!$L$3:$N$6,3,FALSE)=0,"Spatial Data Missing ⚠",VLOOKUP(U24,'G-3 Multipliers'!$L$3:$N$6,3,FALSE)))</f>
        <v>1</v>
      </c>
      <c r="X24" s="362">
        <f ca="1">IFERROR(IF(OR(LEFT(O24,5)="Error",LEFT(N24,5)="Error",T24="Error"),"Check Data ⚠",IF(F24&lt;R24,INDEX('G-6 Hedgerow Data'!$S$3:$AE$14,MATCH(C24,'G-6 Hedgerow Data'!$B$3:$B$14,0),MATCH(M24,'G-6 Hedgerow Data'!$S$2:$AE$2,0)),INDEX('G-6 Hedgerow Data'!$K$3:$Q$14,MATCH(M24,'G-6 Hedgerow Data'!$B$3:$B$14,0),MATCH(O24,'G-6 Hedgerow Data'!$K$2:$Q$2,0)))),"")</f>
        <v>10</v>
      </c>
      <c r="Y24" s="159"/>
      <c r="Z24" s="159"/>
      <c r="AA24" s="370" t="str">
        <f t="shared" ca="1" si="3"/>
        <v>Standard time to target condition applied</v>
      </c>
      <c r="AB24" s="383">
        <f t="shared" ca="1" si="4"/>
        <v>10</v>
      </c>
      <c r="AC24" s="384">
        <f t="shared" ca="1" si="0"/>
        <v>0.70028227419999989</v>
      </c>
      <c r="AD24" s="398" t="str">
        <f>IF(M24="","",VLOOKUP(M24,'G-6 Hedgerow Data'!$B$3:$AG$15,31,FALSE))</f>
        <v>Low</v>
      </c>
      <c r="AE24" s="370" t="str">
        <f t="shared" ca="1" si="5"/>
        <v>Standard difficulty applied</v>
      </c>
      <c r="AF24" s="370" t="str">
        <f t="shared" ca="1" si="6"/>
        <v>Low</v>
      </c>
      <c r="AG24" s="386">
        <f ca="1">IFERROR(IF(O24="","",VLOOKUP(AD24,'G-3 Multipliers'!$P$3:$Q$6,2,FALSE)),"")</f>
        <v>1</v>
      </c>
      <c r="AH24" s="376">
        <f t="shared" ca="1" si="7"/>
        <v>4.8394458918212404</v>
      </c>
      <c r="AI24" s="188"/>
      <c r="AJ24" s="118"/>
      <c r="AK24" s="120"/>
      <c r="AT24" s="30" t="str">
        <f>IFERROR(INDEX('G-6 Hedgerow Data'!$BJ$3:$BJ$15,MATCH(M24,'G-6 Hedgerow Data'!$B$3:$B$15,0)),"")</f>
        <v>Hedgecond1</v>
      </c>
    </row>
    <row r="25" spans="2:46" ht="28.5" x14ac:dyDescent="0.2">
      <c r="B25" s="392">
        <f>'B-1 On-Site Hedge Baseline'!AK23</f>
        <v>23</v>
      </c>
      <c r="C25" s="382" t="str">
        <f ca="1">IF(B25="","",IF(ISNA(VLOOKUP($B25,'B-1 On-Site Hedge Baseline'!$B$1:$L$257,3,FALSE)),"",(VLOOKUP($B25,'B-1 On-Site Hedge Baseline'!$B$1:$L$257,3,FALSE))))</f>
        <v>Species-rich native hedgerow</v>
      </c>
      <c r="D25" s="382">
        <f ca="1">IF(B25="","",IF(ISNA(VLOOKUP($B25,'B-1 On-Site Hedge Baseline'!$B$1:$L$257,4,FALSE)),"",(VLOOKUP($B25,'B-1 On-Site Hedge Baseline'!$B$1:$L$257,4,FALSE))))</f>
        <v>0.5534</v>
      </c>
      <c r="E25" s="382" t="str">
        <f ca="1">IF(B25="","",IF(ISNA(VLOOKUP($B25,'B-1 On-Site Hedge Baseline'!$B$1:$L$257,5,FALSE)),"",(VLOOKUP($B25,'B-1 On-Site Hedge Baseline'!$B$1:$L$257,5,FALSE))))</f>
        <v>Medium</v>
      </c>
      <c r="F25" s="382">
        <f ca="1">IF(B25="","",IF(ISNA(VLOOKUP($B25,'B-1 On-Site Hedge Baseline'!$B$1:$L$257,6,FALSE)),"",(VLOOKUP($B25,'B-1 On-Site Hedge Baseline'!$B$1:$L$257,6,FALSE))))</f>
        <v>4</v>
      </c>
      <c r="G25" s="382" t="str">
        <f ca="1">IF(B25="","",IF(ISNA(VLOOKUP($B25,'B-1 On-Site Hedge Baseline'!$B$1:$L$257,7,FALSE)),"",(VLOOKUP($B25,'B-1 On-Site Hedge Baseline'!$B$1:$L$257,7,FALSE))))</f>
        <v>Good</v>
      </c>
      <c r="H25" s="382">
        <f ca="1">IF(B25="","",IF(ISNA(VLOOKUP($B25,'B-1 On-Site Hedge Baseline'!$B$1:$L$257,8,FALSE)),"",(VLOOKUP($B25,'B-1 On-Site Hedge Baseline'!$B$1:$L$257,8,FALSE))))</f>
        <v>3</v>
      </c>
      <c r="I25" s="382" t="str">
        <f ca="1">IF(B25="","",IF(ISNA(VLOOKUP($B25,'B-1 On-Site Hedge Baseline'!$B$1:$L$257,10,FALSE)),"",(VLOOKUP($B25,'B-1 On-Site Hedge Baseline'!$B$1:$L$257,10,FALSE))))</f>
        <v>Low Strategic Significance</v>
      </c>
      <c r="J25" s="382">
        <f ca="1">IF(B25="","",IF(ISNA(VLOOKUP($B25,'B-1 On-Site Hedge Baseline'!$B$1:$L$257,11,FALSE)),"",(VLOOKUP($B25,'B-1 On-Site Hedge Baseline'!$B$1:$L$257,11,FALSE))))</f>
        <v>1</v>
      </c>
      <c r="K25" s="382">
        <f ca="1">IF(B25="","",IF(ISNA(VLOOKUP($B25,'B-1 On-Site Hedge Baseline'!$B$1:$U$257,13,FALSE)),"",(VLOOKUP($B25,'B-1 On-Site Hedge Baseline'!$B$1:$U$257,13,FALSE))))</f>
        <v>6.6408000000000005</v>
      </c>
      <c r="L25" s="386" t="str">
        <f ca="1">IF(B25="","",IF(ISNA(VLOOKUP($B25,'B-1 On-Site Hedge Baseline'!$B$1:$U$257,12,FALSE)),"",(VLOOKUP($B25,'B-1 On-Site Hedge Baseline'!$B$1:$U$257,12,FALSE))))</f>
        <v>Same distinctiveness band or better</v>
      </c>
      <c r="M25" s="315" t="s">
        <v>168</v>
      </c>
      <c r="N25" s="362" t="str">
        <f ca="1">IFERROR(IF(B25="","",INDEX('G-6 Hedgerow Data'!$AN$3:$AZ$15,MATCH(C25,'G-6 Hedgerow Data'!$AM$3:$AM$15,0),MATCH(M25,'G-6 Hedgerow Data'!$AN$2:$AZ$2,0))),"")</f>
        <v>Medium - High</v>
      </c>
      <c r="O25" s="363" t="str">
        <f t="shared" ca="1" si="2"/>
        <v>Lower Distinctiveness Habitat - Good</v>
      </c>
      <c r="P25" s="417">
        <f>IF(B25="","",VLOOKUP(B25,'B-1 On-Site Hedge Baseline'!$B$10:T270,16,FALSE))</f>
        <v>0.23699999999999999</v>
      </c>
      <c r="Q25" s="362" t="str">
        <f>IF(M25="","",VLOOKUP(M25,'G-6 Hedgerow Data'!$B$2:$AG$15,2,FALSE))</f>
        <v>High</v>
      </c>
      <c r="R25" s="363">
        <f>IF(M25="","",VLOOKUP(M25,'G-6 Hedgerow Data'!$B$2:$AG$15,3,FALSE))</f>
        <v>6</v>
      </c>
      <c r="S25" s="114" t="s">
        <v>68</v>
      </c>
      <c r="T25" s="401">
        <f>IFERROR(VLOOKUP(S25,'G-1 All Habitats'!$Z$2:$AA$9,2,FALSE),"")</f>
        <v>3</v>
      </c>
      <c r="U25" s="114" t="s">
        <v>1037</v>
      </c>
      <c r="V25" s="382" t="str">
        <f>IF(U25="","",IF(VLOOKUP(U25,'G-3 Multipliers'!$L$3:$N$6,2,FALSE)=0,"Spatial Data Missing ⚠",VLOOKUP(U25,'G-3 Multipliers'!$L$3:$N$6,2,FALSE)))</f>
        <v>Low Strategic Significance</v>
      </c>
      <c r="W25" s="386">
        <f>IF(U25="","",IF(VLOOKUP(U25,'G-3 Multipliers'!$L$3:$N$6,3,FALSE)=0,"Spatial Data Missing ⚠",VLOOKUP(U25,'G-3 Multipliers'!$L$3:$N$6,3,FALSE)))</f>
        <v>1</v>
      </c>
      <c r="X25" s="362">
        <f ca="1">IFERROR(IF(OR(LEFT(O25,5)="Error",LEFT(N25,5)="Error",T25="Error"),"Check Data ⚠",IF(F25&lt;R25,INDEX('G-6 Hedgerow Data'!$S$3:$AE$14,MATCH(C25,'G-6 Hedgerow Data'!$B$3:$B$14,0),MATCH(M25,'G-6 Hedgerow Data'!$S$2:$AE$2,0)),INDEX('G-6 Hedgerow Data'!$K$3:$Q$14,MATCH(M25,'G-6 Hedgerow Data'!$B$3:$B$14,0),MATCH(O25,'G-6 Hedgerow Data'!$K$2:$Q$2,0)))),"")</f>
        <v>10</v>
      </c>
      <c r="Y25" s="159"/>
      <c r="Z25" s="159"/>
      <c r="AA25" s="370" t="str">
        <f t="shared" ca="1" si="3"/>
        <v>Standard time to target condition applied</v>
      </c>
      <c r="AB25" s="383">
        <f t="shared" ca="1" si="4"/>
        <v>10</v>
      </c>
      <c r="AC25" s="384">
        <f t="shared" ca="1" si="0"/>
        <v>0.70028227419999989</v>
      </c>
      <c r="AD25" s="398" t="str">
        <f>IF(M25="","",VLOOKUP(M25,'G-6 Hedgerow Data'!$B$3:$AG$15,31,FALSE))</f>
        <v>Low</v>
      </c>
      <c r="AE25" s="370" t="str">
        <f t="shared" ca="1" si="5"/>
        <v>Standard difficulty applied</v>
      </c>
      <c r="AF25" s="370" t="str">
        <f t="shared" ca="1" si="6"/>
        <v>Low</v>
      </c>
      <c r="AG25" s="386">
        <f ca="1">IFERROR(IF(O25="","",VLOOKUP(AD25,'G-3 Multipliers'!$P$3:$Q$6,2,FALSE)),"")</f>
        <v>1</v>
      </c>
      <c r="AH25" s="376">
        <f t="shared" ca="1" si="7"/>
        <v>3.8398013939124001</v>
      </c>
      <c r="AI25" s="188"/>
      <c r="AJ25" s="118"/>
      <c r="AK25" s="120"/>
      <c r="AT25" s="30" t="str">
        <f>IFERROR(INDEX('G-6 Hedgerow Data'!$BJ$3:$BJ$15,MATCH(M25,'G-6 Hedgerow Data'!$B$3:$B$15,0)),"")</f>
        <v>Hedgecond1</v>
      </c>
    </row>
    <row r="26" spans="2:46" ht="28.5" x14ac:dyDescent="0.2">
      <c r="B26" s="392">
        <f>'B-1 On-Site Hedge Baseline'!AK24</f>
        <v>24</v>
      </c>
      <c r="C26" s="382" t="str">
        <f ca="1">IF(B26="","",IF(ISNA(VLOOKUP($B26,'B-1 On-Site Hedge Baseline'!$B$1:$L$257,3,FALSE)),"",(VLOOKUP($B26,'B-1 On-Site Hedge Baseline'!$B$1:$L$257,3,FALSE))))</f>
        <v>Species-rich native hedgerow</v>
      </c>
      <c r="D26" s="382">
        <f ca="1">IF(B26="","",IF(ISNA(VLOOKUP($B26,'B-1 On-Site Hedge Baseline'!$B$1:$L$257,4,FALSE)),"",(VLOOKUP($B26,'B-1 On-Site Hedge Baseline'!$B$1:$L$257,4,FALSE))))</f>
        <v>0.33850000000000002</v>
      </c>
      <c r="E26" s="382" t="str">
        <f ca="1">IF(B26="","",IF(ISNA(VLOOKUP($B26,'B-1 On-Site Hedge Baseline'!$B$1:$L$257,5,FALSE)),"",(VLOOKUP($B26,'B-1 On-Site Hedge Baseline'!$B$1:$L$257,5,FALSE))))</f>
        <v>Medium</v>
      </c>
      <c r="F26" s="382">
        <f ca="1">IF(B26="","",IF(ISNA(VLOOKUP($B26,'B-1 On-Site Hedge Baseline'!$B$1:$L$257,6,FALSE)),"",(VLOOKUP($B26,'B-1 On-Site Hedge Baseline'!$B$1:$L$257,6,FALSE))))</f>
        <v>4</v>
      </c>
      <c r="G26" s="382" t="str">
        <f ca="1">IF(B26="","",IF(ISNA(VLOOKUP($B26,'B-1 On-Site Hedge Baseline'!$B$1:$L$257,7,FALSE)),"",(VLOOKUP($B26,'B-1 On-Site Hedge Baseline'!$B$1:$L$257,7,FALSE))))</f>
        <v>Good</v>
      </c>
      <c r="H26" s="382">
        <f ca="1">IF(B26="","",IF(ISNA(VLOOKUP($B26,'B-1 On-Site Hedge Baseline'!$B$1:$L$257,8,FALSE)),"",(VLOOKUP($B26,'B-1 On-Site Hedge Baseline'!$B$1:$L$257,8,FALSE))))</f>
        <v>3</v>
      </c>
      <c r="I26" s="382" t="str">
        <f ca="1">IF(B26="","",IF(ISNA(VLOOKUP($B26,'B-1 On-Site Hedge Baseline'!$B$1:$L$257,10,FALSE)),"",(VLOOKUP($B26,'B-1 On-Site Hedge Baseline'!$B$1:$L$257,10,FALSE))))</f>
        <v>Low Strategic Significance</v>
      </c>
      <c r="J26" s="382">
        <f ca="1">IF(B26="","",IF(ISNA(VLOOKUP($B26,'B-1 On-Site Hedge Baseline'!$B$1:$L$257,11,FALSE)),"",(VLOOKUP($B26,'B-1 On-Site Hedge Baseline'!$B$1:$L$257,11,FALSE))))</f>
        <v>1</v>
      </c>
      <c r="K26" s="382">
        <f ca="1">IF(B26="","",IF(ISNA(VLOOKUP($B26,'B-1 On-Site Hedge Baseline'!$B$1:$U$257,13,FALSE)),"",(VLOOKUP($B26,'B-1 On-Site Hedge Baseline'!$B$1:$U$257,13,FALSE))))</f>
        <v>4.0620000000000003</v>
      </c>
      <c r="L26" s="386" t="str">
        <f ca="1">IF(B26="","",IF(ISNA(VLOOKUP($B26,'B-1 On-Site Hedge Baseline'!$B$1:$U$257,12,FALSE)),"",(VLOOKUP($B26,'B-1 On-Site Hedge Baseline'!$B$1:$U$257,12,FALSE))))</f>
        <v>Same distinctiveness band or better</v>
      </c>
      <c r="M26" s="315" t="s">
        <v>168</v>
      </c>
      <c r="N26" s="362" t="str">
        <f ca="1">IFERROR(IF(B26="","",INDEX('G-6 Hedgerow Data'!$AN$3:$AZ$15,MATCH(C26,'G-6 Hedgerow Data'!$AM$3:$AM$15,0),MATCH(M26,'G-6 Hedgerow Data'!$AN$2:$AZ$2,0))),"")</f>
        <v>Medium - High</v>
      </c>
      <c r="O26" s="363" t="str">
        <f t="shared" ca="1" si="2"/>
        <v>Lower Distinctiveness Habitat - Good</v>
      </c>
      <c r="P26" s="417">
        <f>IF(B26="","",VLOOKUP(B26,'B-1 On-Site Hedge Baseline'!$B$10:T271,16,FALSE))</f>
        <v>0.26950000000000002</v>
      </c>
      <c r="Q26" s="362" t="str">
        <f>IF(M26="","",VLOOKUP(M26,'G-6 Hedgerow Data'!$B$2:$AG$15,2,FALSE))</f>
        <v>High</v>
      </c>
      <c r="R26" s="363">
        <f>IF(M26="","",VLOOKUP(M26,'G-6 Hedgerow Data'!$B$2:$AG$15,3,FALSE))</f>
        <v>6</v>
      </c>
      <c r="S26" s="114" t="s">
        <v>68</v>
      </c>
      <c r="T26" s="401">
        <f>IFERROR(VLOOKUP(S26,'G-1 All Habitats'!$Z$2:$AA$9,2,FALSE),"")</f>
        <v>3</v>
      </c>
      <c r="U26" s="114" t="s">
        <v>1037</v>
      </c>
      <c r="V26" s="382" t="str">
        <f>IF(U26="","",IF(VLOOKUP(U26,'G-3 Multipliers'!$L$3:$N$6,2,FALSE)=0,"Spatial Data Missing ⚠",VLOOKUP(U26,'G-3 Multipliers'!$L$3:$N$6,2,FALSE)))</f>
        <v>Low Strategic Significance</v>
      </c>
      <c r="W26" s="386">
        <f>IF(U26="","",IF(VLOOKUP(U26,'G-3 Multipliers'!$L$3:$N$6,3,FALSE)=0,"Spatial Data Missing ⚠",VLOOKUP(U26,'G-3 Multipliers'!$L$3:$N$6,3,FALSE)))</f>
        <v>1</v>
      </c>
      <c r="X26" s="362">
        <f ca="1">IFERROR(IF(OR(LEFT(O26,5)="Error",LEFT(N26,5)="Error",T26="Error"),"Check Data ⚠",IF(F26&lt;R26,INDEX('G-6 Hedgerow Data'!$S$3:$AE$14,MATCH(C26,'G-6 Hedgerow Data'!$B$3:$B$14,0),MATCH(M26,'G-6 Hedgerow Data'!$S$2:$AE$2,0)),INDEX('G-6 Hedgerow Data'!$K$3:$Q$14,MATCH(M26,'G-6 Hedgerow Data'!$B$3:$B$14,0),MATCH(O26,'G-6 Hedgerow Data'!$K$2:$Q$2,0)))),"")</f>
        <v>10</v>
      </c>
      <c r="Y26" s="159"/>
      <c r="Z26" s="159"/>
      <c r="AA26" s="370" t="str">
        <f t="shared" ca="1" si="3"/>
        <v>Standard time to target condition applied</v>
      </c>
      <c r="AB26" s="383">
        <f t="shared" ca="1" si="4"/>
        <v>10</v>
      </c>
      <c r="AC26" s="384">
        <f t="shared" ca="1" si="0"/>
        <v>0.70028227419999989</v>
      </c>
      <c r="AD26" s="398" t="str">
        <f>IF(M26="","",VLOOKUP(M26,'G-6 Hedgerow Data'!$B$3:$AG$15,31,FALSE))</f>
        <v>Low</v>
      </c>
      <c r="AE26" s="370" t="str">
        <f t="shared" ca="1" si="5"/>
        <v>Standard difficulty applied</v>
      </c>
      <c r="AF26" s="370" t="str">
        <f t="shared" ca="1" si="6"/>
        <v>Low</v>
      </c>
      <c r="AG26" s="386">
        <f ca="1">IFERROR(IF(O26="","",VLOOKUP(AD26,'G-3 Multipliers'!$P$3:$Q$6,2,FALSE)),"")</f>
        <v>1</v>
      </c>
      <c r="AH26" s="376">
        <f t="shared" ca="1" si="7"/>
        <v>4.3663564373814001</v>
      </c>
      <c r="AI26" s="188"/>
      <c r="AJ26" s="118"/>
      <c r="AK26" s="120"/>
      <c r="AT26" s="30" t="str">
        <f>IFERROR(INDEX('G-6 Hedgerow Data'!$BJ$3:$BJ$15,MATCH(M26,'G-6 Hedgerow Data'!$B$3:$B$15,0)),"")</f>
        <v>Hedgecond1</v>
      </c>
    </row>
    <row r="27" spans="2:46" ht="28.5" x14ac:dyDescent="0.2">
      <c r="B27" s="392">
        <f>'B-1 On-Site Hedge Baseline'!AK25</f>
        <v>27</v>
      </c>
      <c r="C27" s="382" t="str">
        <f ca="1">IF(B27="","",IF(ISNA(VLOOKUP($B27,'B-1 On-Site Hedge Baseline'!$B$1:$L$257,3,FALSE)),"",(VLOOKUP($B27,'B-1 On-Site Hedge Baseline'!$B$1:$L$257,3,FALSE))))</f>
        <v>Native hedgerow</v>
      </c>
      <c r="D27" s="382">
        <f ca="1">IF(B27="","",IF(ISNA(VLOOKUP($B27,'B-1 On-Site Hedge Baseline'!$B$1:$L$257,4,FALSE)),"",(VLOOKUP($B27,'B-1 On-Site Hedge Baseline'!$B$1:$L$257,4,FALSE))))</f>
        <v>0.58540000000000003</v>
      </c>
      <c r="E27" s="382" t="str">
        <f ca="1">IF(B27="","",IF(ISNA(VLOOKUP($B27,'B-1 On-Site Hedge Baseline'!$B$1:$L$257,5,FALSE)),"",(VLOOKUP($B27,'B-1 On-Site Hedge Baseline'!$B$1:$L$257,5,FALSE))))</f>
        <v>Low</v>
      </c>
      <c r="F27" s="382">
        <f ca="1">IF(B27="","",IF(ISNA(VLOOKUP($B27,'B-1 On-Site Hedge Baseline'!$B$1:$L$257,6,FALSE)),"",(VLOOKUP($B27,'B-1 On-Site Hedge Baseline'!$B$1:$L$257,6,FALSE))))</f>
        <v>2</v>
      </c>
      <c r="G27" s="382" t="str">
        <f ca="1">IF(B27="","",IF(ISNA(VLOOKUP($B27,'B-1 On-Site Hedge Baseline'!$B$1:$L$257,7,FALSE)),"",(VLOOKUP($B27,'B-1 On-Site Hedge Baseline'!$B$1:$L$257,7,FALSE))))</f>
        <v>Good</v>
      </c>
      <c r="H27" s="382">
        <f ca="1">IF(B27="","",IF(ISNA(VLOOKUP($B27,'B-1 On-Site Hedge Baseline'!$B$1:$L$257,8,FALSE)),"",(VLOOKUP($B27,'B-1 On-Site Hedge Baseline'!$B$1:$L$257,8,FALSE))))</f>
        <v>3</v>
      </c>
      <c r="I27" s="382" t="str">
        <f ca="1">IF(B27="","",IF(ISNA(VLOOKUP($B27,'B-1 On-Site Hedge Baseline'!$B$1:$L$257,10,FALSE)),"",(VLOOKUP($B27,'B-1 On-Site Hedge Baseline'!$B$1:$L$257,10,FALSE))))</f>
        <v>Low Strategic Significance</v>
      </c>
      <c r="J27" s="382">
        <f ca="1">IF(B27="","",IF(ISNA(VLOOKUP($B27,'B-1 On-Site Hedge Baseline'!$B$1:$L$257,11,FALSE)),"",(VLOOKUP($B27,'B-1 On-Site Hedge Baseline'!$B$1:$L$257,11,FALSE))))</f>
        <v>1</v>
      </c>
      <c r="K27" s="382">
        <f ca="1">IF(B27="","",IF(ISNA(VLOOKUP($B27,'B-1 On-Site Hedge Baseline'!$B$1:$U$257,13,FALSE)),"",(VLOOKUP($B27,'B-1 On-Site Hedge Baseline'!$B$1:$U$257,13,FALSE))))</f>
        <v>3.5124000000000004</v>
      </c>
      <c r="L27" s="386" t="str">
        <f ca="1">IF(B27="","",IF(ISNA(VLOOKUP($B27,'B-1 On-Site Hedge Baseline'!$B$1:$U$257,12,FALSE)),"",(VLOOKUP($B27,'B-1 On-Site Hedge Baseline'!$B$1:$U$257,12,FALSE))))</f>
        <v>Same distinctiveness band or better</v>
      </c>
      <c r="M27" s="315" t="s">
        <v>171</v>
      </c>
      <c r="N27" s="362" t="str">
        <f ca="1">IFERROR(IF(B27="","",INDEX('G-6 Hedgerow Data'!$AN$3:$AZ$15,MATCH(C27,'G-6 Hedgerow Data'!$AM$3:$AM$15,0),MATCH(M27,'G-6 Hedgerow Data'!$AN$2:$AZ$2,0))),"")</f>
        <v>Low - Medium</v>
      </c>
      <c r="O27" s="363" t="str">
        <f t="shared" ca="1" si="2"/>
        <v>Lower Distinctiveness Habitat - Good</v>
      </c>
      <c r="P27" s="417">
        <f>IF(B27="","",VLOOKUP(B27,'B-1 On-Site Hedge Baseline'!$B$10:T272,16,FALSE))</f>
        <v>0.58540000000000003</v>
      </c>
      <c r="Q27" s="362" t="str">
        <f>IF(M27="","",VLOOKUP(M27,'G-6 Hedgerow Data'!$B$2:$AG$15,2,FALSE))</f>
        <v>Medium</v>
      </c>
      <c r="R27" s="363">
        <f>IF(M27="","",VLOOKUP(M27,'G-6 Hedgerow Data'!$B$2:$AG$15,3,FALSE))</f>
        <v>4</v>
      </c>
      <c r="S27" s="114" t="s">
        <v>68</v>
      </c>
      <c r="T27" s="401">
        <f>IFERROR(VLOOKUP(S27,'G-1 All Habitats'!$Z$2:$AA$9,2,FALSE),"")</f>
        <v>3</v>
      </c>
      <c r="U27" s="114" t="s">
        <v>1037</v>
      </c>
      <c r="V27" s="382" t="str">
        <f>IF(U27="","",IF(VLOOKUP(U27,'G-3 Multipliers'!$L$3:$N$6,2,FALSE)=0,"Spatial Data Missing ⚠",VLOOKUP(U27,'G-3 Multipliers'!$L$3:$N$6,2,FALSE)))</f>
        <v>Low Strategic Significance</v>
      </c>
      <c r="W27" s="386">
        <f>IF(U27="","",IF(VLOOKUP(U27,'G-3 Multipliers'!$L$3:$N$6,3,FALSE)=0,"Spatial Data Missing ⚠",VLOOKUP(U27,'G-3 Multipliers'!$L$3:$N$6,3,FALSE)))</f>
        <v>1</v>
      </c>
      <c r="X27" s="362">
        <f ca="1">IFERROR(IF(OR(LEFT(O27,5)="Error",LEFT(N27,5)="Error",T27="Error"),"Check Data ⚠",IF(F27&lt;R27,INDEX('G-6 Hedgerow Data'!$S$3:$AE$14,MATCH(C27,'G-6 Hedgerow Data'!$B$3:$B$14,0),MATCH(M27,'G-6 Hedgerow Data'!$S$2:$AE$2,0)),INDEX('G-6 Hedgerow Data'!$K$3:$Q$14,MATCH(M27,'G-6 Hedgerow Data'!$B$3:$B$14,0),MATCH(O27,'G-6 Hedgerow Data'!$K$2:$Q$2,0)))),"")</f>
        <v>5</v>
      </c>
      <c r="Y27" s="159"/>
      <c r="Z27" s="159"/>
      <c r="AA27" s="370" t="str">
        <f t="shared" ca="1" si="3"/>
        <v>Standard time to target condition applied</v>
      </c>
      <c r="AB27" s="383">
        <f t="shared" ca="1" si="4"/>
        <v>5</v>
      </c>
      <c r="AC27" s="384">
        <f t="shared" ca="1" si="0"/>
        <v>0.83682870060000003</v>
      </c>
      <c r="AD27" s="398" t="str">
        <f>IF(M27="","",VLOOKUP(M27,'G-6 Hedgerow Data'!$B$3:$AG$15,31,FALSE))</f>
        <v>Low</v>
      </c>
      <c r="AE27" s="370" t="str">
        <f t="shared" ca="1" si="5"/>
        <v>Standard difficulty applied</v>
      </c>
      <c r="AF27" s="370" t="str">
        <f t="shared" ca="1" si="6"/>
        <v>Low</v>
      </c>
      <c r="AG27" s="386">
        <f ca="1">IFERROR(IF(O27="","",VLOOKUP(AD27,'G-3 Multipliers'!$P$3:$Q$6,2,FALSE)),"")</f>
        <v>1</v>
      </c>
      <c r="AH27" s="376">
        <f t="shared" ca="1" si="7"/>
        <v>6.4516771279874412</v>
      </c>
      <c r="AI27" s="188"/>
      <c r="AJ27" s="118"/>
      <c r="AK27" s="120"/>
      <c r="AT27" s="30" t="str">
        <f>IFERROR(INDEX('G-6 Hedgerow Data'!$BJ$3:$BJ$15,MATCH(M27,'G-6 Hedgerow Data'!$B$3:$B$15,0)),"")</f>
        <v>Hedgecond1</v>
      </c>
    </row>
    <row r="28" spans="2:46" ht="28.5" x14ac:dyDescent="0.2">
      <c r="B28" s="392">
        <f>'B-1 On-Site Hedge Baseline'!AK26</f>
        <v>36</v>
      </c>
      <c r="C28" s="382" t="str">
        <f ca="1">IF(B28="","",IF(ISNA(VLOOKUP($B28,'B-1 On-Site Hedge Baseline'!$B$1:$L$257,3,FALSE)),"",(VLOOKUP($B28,'B-1 On-Site Hedge Baseline'!$B$1:$L$257,3,FALSE))))</f>
        <v>Native hedgerow</v>
      </c>
      <c r="D28" s="382">
        <f ca="1">IF(B28="","",IF(ISNA(VLOOKUP($B28,'B-1 On-Site Hedge Baseline'!$B$1:$L$257,4,FALSE)),"",(VLOOKUP($B28,'B-1 On-Site Hedge Baseline'!$B$1:$L$257,4,FALSE))))</f>
        <v>0.28649999999999998</v>
      </c>
      <c r="E28" s="382" t="str">
        <f ca="1">IF(B28="","",IF(ISNA(VLOOKUP($B28,'B-1 On-Site Hedge Baseline'!$B$1:$L$257,5,FALSE)),"",(VLOOKUP($B28,'B-1 On-Site Hedge Baseline'!$B$1:$L$257,5,FALSE))))</f>
        <v>Low</v>
      </c>
      <c r="F28" s="382">
        <f ca="1">IF(B28="","",IF(ISNA(VLOOKUP($B28,'B-1 On-Site Hedge Baseline'!$B$1:$L$257,6,FALSE)),"",(VLOOKUP($B28,'B-1 On-Site Hedge Baseline'!$B$1:$L$257,6,FALSE))))</f>
        <v>2</v>
      </c>
      <c r="G28" s="382" t="str">
        <f ca="1">IF(B28="","",IF(ISNA(VLOOKUP($B28,'B-1 On-Site Hedge Baseline'!$B$1:$L$257,7,FALSE)),"",(VLOOKUP($B28,'B-1 On-Site Hedge Baseline'!$B$1:$L$257,7,FALSE))))</f>
        <v>Good</v>
      </c>
      <c r="H28" s="382">
        <f ca="1">IF(B28="","",IF(ISNA(VLOOKUP($B28,'B-1 On-Site Hedge Baseline'!$B$1:$L$257,8,FALSE)),"",(VLOOKUP($B28,'B-1 On-Site Hedge Baseline'!$B$1:$L$257,8,FALSE))))</f>
        <v>3</v>
      </c>
      <c r="I28" s="382" t="str">
        <f ca="1">IF(B28="","",IF(ISNA(VLOOKUP($B28,'B-1 On-Site Hedge Baseline'!$B$1:$L$257,10,FALSE)),"",(VLOOKUP($B28,'B-1 On-Site Hedge Baseline'!$B$1:$L$257,10,FALSE))))</f>
        <v>Low Strategic Significance</v>
      </c>
      <c r="J28" s="382">
        <f ca="1">IF(B28="","",IF(ISNA(VLOOKUP($B28,'B-1 On-Site Hedge Baseline'!$B$1:$L$257,11,FALSE)),"",(VLOOKUP($B28,'B-1 On-Site Hedge Baseline'!$B$1:$L$257,11,FALSE))))</f>
        <v>1</v>
      </c>
      <c r="K28" s="382">
        <f ca="1">IF(B28="","",IF(ISNA(VLOOKUP($B28,'B-1 On-Site Hedge Baseline'!$B$1:$U$257,13,FALSE)),"",(VLOOKUP($B28,'B-1 On-Site Hedge Baseline'!$B$1:$U$257,13,FALSE))))</f>
        <v>1.7189999999999999</v>
      </c>
      <c r="L28" s="386" t="str">
        <f ca="1">IF(B28="","",IF(ISNA(VLOOKUP($B28,'B-1 On-Site Hedge Baseline'!$B$1:$U$257,12,FALSE)),"",(VLOOKUP($B28,'B-1 On-Site Hedge Baseline'!$B$1:$U$257,12,FALSE))))</f>
        <v>Same distinctiveness band or better</v>
      </c>
      <c r="M28" s="315" t="s">
        <v>171</v>
      </c>
      <c r="N28" s="362" t="str">
        <f ca="1">IFERROR(IF(B28="","",INDEX('G-6 Hedgerow Data'!$AN$3:$AZ$15,MATCH(C28,'G-6 Hedgerow Data'!$AM$3:$AM$15,0),MATCH(M28,'G-6 Hedgerow Data'!$AN$2:$AZ$2,0))),"")</f>
        <v>Low - Medium</v>
      </c>
      <c r="O28" s="363" t="str">
        <f t="shared" ca="1" si="2"/>
        <v>Lower Distinctiveness Habitat - Good</v>
      </c>
      <c r="P28" s="417">
        <f>IF(B28="","",VLOOKUP(B28,'B-1 On-Site Hedge Baseline'!$B$10:T273,16,FALSE))</f>
        <v>0.28649999999999998</v>
      </c>
      <c r="Q28" s="362" t="str">
        <f>IF(M28="","",VLOOKUP(M28,'G-6 Hedgerow Data'!$B$2:$AG$15,2,FALSE))</f>
        <v>Medium</v>
      </c>
      <c r="R28" s="363">
        <f>IF(M28="","",VLOOKUP(M28,'G-6 Hedgerow Data'!$B$2:$AG$15,3,FALSE))</f>
        <v>4</v>
      </c>
      <c r="S28" s="114" t="s">
        <v>68</v>
      </c>
      <c r="T28" s="401">
        <f>IFERROR(VLOOKUP(S28,'G-1 All Habitats'!$Z$2:$AA$9,2,FALSE),"")</f>
        <v>3</v>
      </c>
      <c r="U28" s="114" t="s">
        <v>1037</v>
      </c>
      <c r="V28" s="382" t="str">
        <f>IF(U28="","",IF(VLOOKUP(U28,'G-3 Multipliers'!$L$3:$N$6,2,FALSE)=0,"Spatial Data Missing ⚠",VLOOKUP(U28,'G-3 Multipliers'!$L$3:$N$6,2,FALSE)))</f>
        <v>Low Strategic Significance</v>
      </c>
      <c r="W28" s="386">
        <f>IF(U28="","",IF(VLOOKUP(U28,'G-3 Multipliers'!$L$3:$N$6,3,FALSE)=0,"Spatial Data Missing ⚠",VLOOKUP(U28,'G-3 Multipliers'!$L$3:$N$6,3,FALSE)))</f>
        <v>1</v>
      </c>
      <c r="X28" s="362">
        <f ca="1">IFERROR(IF(OR(LEFT(O28,5)="Error",LEFT(N28,5)="Error",T28="Error"),"Check Data ⚠",IF(F28&lt;R28,INDEX('G-6 Hedgerow Data'!$S$3:$AE$14,MATCH(C28,'G-6 Hedgerow Data'!$B$3:$B$14,0),MATCH(M28,'G-6 Hedgerow Data'!$S$2:$AE$2,0)),INDEX('G-6 Hedgerow Data'!$K$3:$Q$14,MATCH(M28,'G-6 Hedgerow Data'!$B$3:$B$14,0),MATCH(O28,'G-6 Hedgerow Data'!$K$2:$Q$2,0)))),"")</f>
        <v>5</v>
      </c>
      <c r="Y28" s="159"/>
      <c r="Z28" s="159"/>
      <c r="AA28" s="370" t="str">
        <f t="shared" ca="1" si="3"/>
        <v>Standard time to target condition applied</v>
      </c>
      <c r="AB28" s="383">
        <f t="shared" ca="1" si="4"/>
        <v>5</v>
      </c>
      <c r="AC28" s="384">
        <f t="shared" ca="1" si="0"/>
        <v>0.83682870060000003</v>
      </c>
      <c r="AD28" s="398" t="str">
        <f>IF(M28="","",VLOOKUP(M28,'G-6 Hedgerow Data'!$B$3:$AG$15,31,FALSE))</f>
        <v>Low</v>
      </c>
      <c r="AE28" s="370" t="str">
        <f t="shared" ca="1" si="5"/>
        <v>Standard difficulty applied</v>
      </c>
      <c r="AF28" s="370" t="str">
        <f t="shared" ca="1" si="6"/>
        <v>Low</v>
      </c>
      <c r="AG28" s="386">
        <f ca="1">IFERROR(IF(O28="","",VLOOKUP(AD28,'G-3 Multipliers'!$P$3:$Q$6,2,FALSE)),"")</f>
        <v>1</v>
      </c>
      <c r="AH28" s="376">
        <f t="shared" ca="1" si="7"/>
        <v>3.1575085363313997</v>
      </c>
      <c r="AI28" s="188"/>
      <c r="AJ28" s="118"/>
      <c r="AK28" s="120"/>
      <c r="AT28" s="30" t="str">
        <f>IFERROR(INDEX('G-6 Hedgerow Data'!$BJ$3:$BJ$15,MATCH(M28,'G-6 Hedgerow Data'!$B$3:$B$15,0)),"")</f>
        <v>Hedgecond1</v>
      </c>
    </row>
    <row r="29" spans="2:46" ht="28.5" x14ac:dyDescent="0.2">
      <c r="B29" s="392">
        <f>'B-1 On-Site Hedge Baseline'!AK27</f>
        <v>38</v>
      </c>
      <c r="C29" s="382" t="str">
        <f ca="1">IF(B29="","",IF(ISNA(VLOOKUP($B29,'B-1 On-Site Hedge Baseline'!$B$1:$L$257,3,FALSE)),"",(VLOOKUP($B29,'B-1 On-Site Hedge Baseline'!$B$1:$L$257,3,FALSE))))</f>
        <v>Native hedgerow</v>
      </c>
      <c r="D29" s="382">
        <f ca="1">IF(B29="","",IF(ISNA(VLOOKUP($B29,'B-1 On-Site Hedge Baseline'!$B$1:$L$257,4,FALSE)),"",(VLOOKUP($B29,'B-1 On-Site Hedge Baseline'!$B$1:$L$257,4,FALSE))))</f>
        <v>6.4500000000000002E-2</v>
      </c>
      <c r="E29" s="382" t="str">
        <f ca="1">IF(B29="","",IF(ISNA(VLOOKUP($B29,'B-1 On-Site Hedge Baseline'!$B$1:$L$257,5,FALSE)),"",(VLOOKUP($B29,'B-1 On-Site Hedge Baseline'!$B$1:$L$257,5,FALSE))))</f>
        <v>Low</v>
      </c>
      <c r="F29" s="382">
        <f ca="1">IF(B29="","",IF(ISNA(VLOOKUP($B29,'B-1 On-Site Hedge Baseline'!$B$1:$L$257,6,FALSE)),"",(VLOOKUP($B29,'B-1 On-Site Hedge Baseline'!$B$1:$L$257,6,FALSE))))</f>
        <v>2</v>
      </c>
      <c r="G29" s="382" t="str">
        <f ca="1">IF(B29="","",IF(ISNA(VLOOKUP($B29,'B-1 On-Site Hedge Baseline'!$B$1:$L$257,7,FALSE)),"",(VLOOKUP($B29,'B-1 On-Site Hedge Baseline'!$B$1:$L$257,7,FALSE))))</f>
        <v>Good</v>
      </c>
      <c r="H29" s="382">
        <f ca="1">IF(B29="","",IF(ISNA(VLOOKUP($B29,'B-1 On-Site Hedge Baseline'!$B$1:$L$257,8,FALSE)),"",(VLOOKUP($B29,'B-1 On-Site Hedge Baseline'!$B$1:$L$257,8,FALSE))))</f>
        <v>3</v>
      </c>
      <c r="I29" s="382" t="str">
        <f ca="1">IF(B29="","",IF(ISNA(VLOOKUP($B29,'B-1 On-Site Hedge Baseline'!$B$1:$L$257,10,FALSE)),"",(VLOOKUP($B29,'B-1 On-Site Hedge Baseline'!$B$1:$L$257,10,FALSE))))</f>
        <v>Low Strategic Significance</v>
      </c>
      <c r="J29" s="382">
        <f ca="1">IF(B29="","",IF(ISNA(VLOOKUP($B29,'B-1 On-Site Hedge Baseline'!$B$1:$L$257,11,FALSE)),"",(VLOOKUP($B29,'B-1 On-Site Hedge Baseline'!$B$1:$L$257,11,FALSE))))</f>
        <v>1</v>
      </c>
      <c r="K29" s="382">
        <f ca="1">IF(B29="","",IF(ISNA(VLOOKUP($B29,'B-1 On-Site Hedge Baseline'!$B$1:$U$257,13,FALSE)),"",(VLOOKUP($B29,'B-1 On-Site Hedge Baseline'!$B$1:$U$257,13,FALSE))))</f>
        <v>0.38700000000000001</v>
      </c>
      <c r="L29" s="386" t="str">
        <f ca="1">IF(B29="","",IF(ISNA(VLOOKUP($B29,'B-1 On-Site Hedge Baseline'!$B$1:$U$257,12,FALSE)),"",(VLOOKUP($B29,'B-1 On-Site Hedge Baseline'!$B$1:$U$257,12,FALSE))))</f>
        <v>Same distinctiveness band or better</v>
      </c>
      <c r="M29" s="315" t="s">
        <v>171</v>
      </c>
      <c r="N29" s="362" t="str">
        <f ca="1">IFERROR(IF(B29="","",INDEX('G-6 Hedgerow Data'!$AN$3:$AZ$15,MATCH(C29,'G-6 Hedgerow Data'!$AM$3:$AM$15,0),MATCH(M29,'G-6 Hedgerow Data'!$AN$2:$AZ$2,0))),"")</f>
        <v>Low - Medium</v>
      </c>
      <c r="O29" s="363" t="str">
        <f t="shared" ca="1" si="2"/>
        <v>Lower Distinctiveness Habitat - Good</v>
      </c>
      <c r="P29" s="417">
        <f>IF(B29="","",VLOOKUP(B29,'B-1 On-Site Hedge Baseline'!$B$10:T274,16,FALSE))</f>
        <v>6.4500000000000002E-2</v>
      </c>
      <c r="Q29" s="362" t="str">
        <f>IF(M29="","",VLOOKUP(M29,'G-6 Hedgerow Data'!$B$2:$AG$15,2,FALSE))</f>
        <v>Medium</v>
      </c>
      <c r="R29" s="363">
        <f>IF(M29="","",VLOOKUP(M29,'G-6 Hedgerow Data'!$B$2:$AG$15,3,FALSE))</f>
        <v>4</v>
      </c>
      <c r="S29" s="114" t="s">
        <v>68</v>
      </c>
      <c r="T29" s="401">
        <f>IFERROR(VLOOKUP(S29,'G-1 All Habitats'!$Z$2:$AA$9,2,FALSE),"")</f>
        <v>3</v>
      </c>
      <c r="U29" s="114" t="s">
        <v>1037</v>
      </c>
      <c r="V29" s="382" t="str">
        <f>IF(U29="","",IF(VLOOKUP(U29,'G-3 Multipliers'!$L$3:$N$6,2,FALSE)=0,"Spatial Data Missing ⚠",VLOOKUP(U29,'G-3 Multipliers'!$L$3:$N$6,2,FALSE)))</f>
        <v>Low Strategic Significance</v>
      </c>
      <c r="W29" s="386">
        <f>IF(U29="","",IF(VLOOKUP(U29,'G-3 Multipliers'!$L$3:$N$6,3,FALSE)=0,"Spatial Data Missing ⚠",VLOOKUP(U29,'G-3 Multipliers'!$L$3:$N$6,3,FALSE)))</f>
        <v>1</v>
      </c>
      <c r="X29" s="362">
        <f ca="1">IFERROR(IF(OR(LEFT(O29,5)="Error",LEFT(N29,5)="Error",T29="Error"),"Check Data ⚠",IF(F29&lt;R29,INDEX('G-6 Hedgerow Data'!$S$3:$AE$14,MATCH(C29,'G-6 Hedgerow Data'!$B$3:$B$14,0),MATCH(M29,'G-6 Hedgerow Data'!$S$2:$AE$2,0)),INDEX('G-6 Hedgerow Data'!$K$3:$Q$14,MATCH(M29,'G-6 Hedgerow Data'!$B$3:$B$14,0),MATCH(O29,'G-6 Hedgerow Data'!$K$2:$Q$2,0)))),"")</f>
        <v>5</v>
      </c>
      <c r="Y29" s="159"/>
      <c r="Z29" s="159"/>
      <c r="AA29" s="370" t="str">
        <f t="shared" ca="1" si="3"/>
        <v>Standard time to target condition applied</v>
      </c>
      <c r="AB29" s="383">
        <f t="shared" ca="1" si="4"/>
        <v>5</v>
      </c>
      <c r="AC29" s="384">
        <f t="shared" ca="1" si="0"/>
        <v>0.83682870060000003</v>
      </c>
      <c r="AD29" s="398" t="str">
        <f>IF(M29="","",VLOOKUP(M29,'G-6 Hedgerow Data'!$B$3:$AG$15,31,FALSE))</f>
        <v>Low</v>
      </c>
      <c r="AE29" s="370" t="str">
        <f t="shared" ca="1" si="5"/>
        <v>Standard difficulty applied</v>
      </c>
      <c r="AF29" s="370" t="str">
        <f t="shared" ca="1" si="6"/>
        <v>Low</v>
      </c>
      <c r="AG29" s="386">
        <f ca="1">IFERROR(IF(O29="","",VLOOKUP(AD29,'G-3 Multipliers'!$P$3:$Q$6,2,FALSE)),"")</f>
        <v>1</v>
      </c>
      <c r="AH29" s="376">
        <f t="shared" ca="1" si="7"/>
        <v>0.71085270713220006</v>
      </c>
      <c r="AI29" s="188"/>
      <c r="AJ29" s="118"/>
      <c r="AK29" s="120"/>
      <c r="AT29" s="30" t="str">
        <f>IFERROR(INDEX('G-6 Hedgerow Data'!$BJ$3:$BJ$15,MATCH(M29,'G-6 Hedgerow Data'!$B$3:$B$15,0)),"")</f>
        <v>Hedgecond1</v>
      </c>
    </row>
    <row r="30" spans="2:46" ht="28.5" x14ac:dyDescent="0.2">
      <c r="B30" s="392">
        <f>'B-1 On-Site Hedge Baseline'!AK28</f>
        <v>41</v>
      </c>
      <c r="C30" s="382" t="str">
        <f ca="1">IF(B30="","",IF(ISNA(VLOOKUP($B30,'B-1 On-Site Hedge Baseline'!$B$1:$L$257,3,FALSE)),"",(VLOOKUP($B30,'B-1 On-Site Hedge Baseline'!$B$1:$L$257,3,FALSE))))</f>
        <v>Species-rich native hedgerow</v>
      </c>
      <c r="D30" s="382">
        <f ca="1">IF(B30="","",IF(ISNA(VLOOKUP($B30,'B-1 On-Site Hedge Baseline'!$B$1:$L$257,4,FALSE)),"",(VLOOKUP($B30,'B-1 On-Site Hedge Baseline'!$B$1:$L$257,4,FALSE))))</f>
        <v>0.76729999999999998</v>
      </c>
      <c r="E30" s="382" t="str">
        <f ca="1">IF(B30="","",IF(ISNA(VLOOKUP($B30,'B-1 On-Site Hedge Baseline'!$B$1:$L$257,5,FALSE)),"",(VLOOKUP($B30,'B-1 On-Site Hedge Baseline'!$B$1:$L$257,5,FALSE))))</f>
        <v>Medium</v>
      </c>
      <c r="F30" s="382">
        <f ca="1">IF(B30="","",IF(ISNA(VLOOKUP($B30,'B-1 On-Site Hedge Baseline'!$B$1:$L$257,6,FALSE)),"",(VLOOKUP($B30,'B-1 On-Site Hedge Baseline'!$B$1:$L$257,6,FALSE))))</f>
        <v>4</v>
      </c>
      <c r="G30" s="382" t="str">
        <f ca="1">IF(B30="","",IF(ISNA(VLOOKUP($B30,'B-1 On-Site Hedge Baseline'!$B$1:$L$257,7,FALSE)),"",(VLOOKUP($B30,'B-1 On-Site Hedge Baseline'!$B$1:$L$257,7,FALSE))))</f>
        <v>Good</v>
      </c>
      <c r="H30" s="382">
        <f ca="1">IF(B30="","",IF(ISNA(VLOOKUP($B30,'B-1 On-Site Hedge Baseline'!$B$1:$L$257,8,FALSE)),"",(VLOOKUP($B30,'B-1 On-Site Hedge Baseline'!$B$1:$L$257,8,FALSE))))</f>
        <v>3</v>
      </c>
      <c r="I30" s="382" t="str">
        <f ca="1">IF(B30="","",IF(ISNA(VLOOKUP($B30,'B-1 On-Site Hedge Baseline'!$B$1:$L$257,10,FALSE)),"",(VLOOKUP($B30,'B-1 On-Site Hedge Baseline'!$B$1:$L$257,10,FALSE))))</f>
        <v xml:space="preserve">High strategic significance </v>
      </c>
      <c r="J30" s="382">
        <f ca="1">IF(B30="","",IF(ISNA(VLOOKUP($B30,'B-1 On-Site Hedge Baseline'!$B$1:$L$257,11,FALSE)),"",(VLOOKUP($B30,'B-1 On-Site Hedge Baseline'!$B$1:$L$257,11,FALSE))))</f>
        <v>1.1499999999999999</v>
      </c>
      <c r="K30" s="382">
        <f ca="1">IF(B30="","",IF(ISNA(VLOOKUP($B30,'B-1 On-Site Hedge Baseline'!$B$1:$U$257,13,FALSE)),"",(VLOOKUP($B30,'B-1 On-Site Hedge Baseline'!$B$1:$U$257,13,FALSE))))</f>
        <v>10.588739999999998</v>
      </c>
      <c r="L30" s="386" t="str">
        <f ca="1">IF(B30="","",IF(ISNA(VLOOKUP($B30,'B-1 On-Site Hedge Baseline'!$B$1:$U$257,12,FALSE)),"",(VLOOKUP($B30,'B-1 On-Site Hedge Baseline'!$B$1:$U$257,12,FALSE))))</f>
        <v>Same distinctiveness band or better</v>
      </c>
      <c r="M30" s="315" t="s">
        <v>168</v>
      </c>
      <c r="N30" s="362" t="str">
        <f ca="1">IFERROR(IF(B30="","",INDEX('G-6 Hedgerow Data'!$AN$3:$AZ$15,MATCH(C30,'G-6 Hedgerow Data'!$AM$3:$AM$15,0),MATCH(M30,'G-6 Hedgerow Data'!$AN$2:$AZ$2,0))),"")</f>
        <v>Medium - High</v>
      </c>
      <c r="O30" s="363" t="str">
        <f t="shared" ca="1" si="2"/>
        <v>Lower Distinctiveness Habitat - Good</v>
      </c>
      <c r="P30" s="417">
        <f>IF(B30="","",VLOOKUP(B30,'B-1 On-Site Hedge Baseline'!$B$10:T275,16,FALSE))</f>
        <v>0.47560000000000002</v>
      </c>
      <c r="Q30" s="362" t="str">
        <f>IF(M30="","",VLOOKUP(M30,'G-6 Hedgerow Data'!$B$2:$AG$15,2,FALSE))</f>
        <v>High</v>
      </c>
      <c r="R30" s="363">
        <f>IF(M30="","",VLOOKUP(M30,'G-6 Hedgerow Data'!$B$2:$AG$15,3,FALSE))</f>
        <v>6</v>
      </c>
      <c r="S30" s="55" t="s">
        <v>68</v>
      </c>
      <c r="T30" s="401">
        <f>IFERROR(VLOOKUP(S30,'G-1 All Habitats'!$Z$2:$AA$9,2,FALSE),"")</f>
        <v>3</v>
      </c>
      <c r="U30" s="114" t="s">
        <v>1029</v>
      </c>
      <c r="V30" s="382" t="str">
        <f>IF(U30="","",IF(VLOOKUP(U30,'G-3 Multipliers'!$L$3:$N$6,2,FALSE)=0,"Spatial Data Missing ⚠",VLOOKUP(U30,'G-3 Multipliers'!$L$3:$N$6,2,FALSE)))</f>
        <v xml:space="preserve">High strategic significance </v>
      </c>
      <c r="W30" s="386">
        <f>IF(U30="","",IF(VLOOKUP(U30,'G-3 Multipliers'!$L$3:$N$6,3,FALSE)=0,"Spatial Data Missing ⚠",VLOOKUP(U30,'G-3 Multipliers'!$L$3:$N$6,3,FALSE)))</f>
        <v>1.1499999999999999</v>
      </c>
      <c r="X30" s="362">
        <f ca="1">IFERROR(IF(OR(LEFT(O30,5)="Error",LEFT(N30,5)="Error",T30="Error"),"Check Data ⚠",IF(F30&lt;R30,INDEX('G-6 Hedgerow Data'!$S$3:$AE$14,MATCH(C30,'G-6 Hedgerow Data'!$B$3:$B$14,0),MATCH(M30,'G-6 Hedgerow Data'!$S$2:$AE$2,0)),INDEX('G-6 Hedgerow Data'!$K$3:$Q$14,MATCH(M30,'G-6 Hedgerow Data'!$B$3:$B$14,0),MATCH(O30,'G-6 Hedgerow Data'!$K$2:$Q$2,0)))),"")</f>
        <v>10</v>
      </c>
      <c r="Y30" s="159"/>
      <c r="Z30" s="159"/>
      <c r="AA30" s="370" t="str">
        <f t="shared" ca="1" si="3"/>
        <v>Standard time to target condition applied</v>
      </c>
      <c r="AB30" s="383">
        <f t="shared" ca="1" si="4"/>
        <v>10</v>
      </c>
      <c r="AC30" s="384">
        <f t="shared" ca="1" si="0"/>
        <v>0.70028227419999989</v>
      </c>
      <c r="AD30" s="398" t="str">
        <f>IF(M30="","",VLOOKUP(M30,'G-6 Hedgerow Data'!$B$3:$AG$15,31,FALSE))</f>
        <v>Low</v>
      </c>
      <c r="AE30" s="370" t="str">
        <f t="shared" ca="1" si="5"/>
        <v>Standard difficulty applied</v>
      </c>
      <c r="AF30" s="370" t="str">
        <f t="shared" ca="1" si="6"/>
        <v>Low</v>
      </c>
      <c r="AG30" s="386">
        <f ca="1">IFERROR(IF(O30="","",VLOOKUP(AD30,'G-3 Multipliers'!$P$3:$Q$6,2,FALSE)),"")</f>
        <v>1</v>
      </c>
      <c r="AH30" s="376">
        <f t="shared" ca="1" si="7"/>
        <v>8.8613543223056883</v>
      </c>
      <c r="AI30" s="188"/>
      <c r="AJ30" s="118"/>
      <c r="AK30" s="120"/>
      <c r="AT30" s="30" t="str">
        <f>IFERROR(INDEX('G-6 Hedgerow Data'!$BJ$3:$BJ$15,MATCH(M30,'G-6 Hedgerow Data'!$B$3:$B$15,0)),"")</f>
        <v>Hedgecond1</v>
      </c>
    </row>
    <row r="31" spans="2:46" ht="28.5" x14ac:dyDescent="0.2">
      <c r="B31" s="392">
        <f>'B-1 On-Site Hedge Baseline'!AK29</f>
        <v>48</v>
      </c>
      <c r="C31" s="382" t="str">
        <f ca="1">IF(B31="","",IF(ISNA(VLOOKUP($B31,'B-1 On-Site Hedge Baseline'!$B$1:$L$257,3,FALSE)),"",(VLOOKUP($B31,'B-1 On-Site Hedge Baseline'!$B$1:$L$257,3,FALSE))))</f>
        <v>Native hedgerow</v>
      </c>
      <c r="D31" s="382">
        <f ca="1">IF(B31="","",IF(ISNA(VLOOKUP($B31,'B-1 On-Site Hedge Baseline'!$B$1:$L$257,4,FALSE)),"",(VLOOKUP($B31,'B-1 On-Site Hedge Baseline'!$B$1:$L$257,4,FALSE))))</f>
        <v>0.18210000000000001</v>
      </c>
      <c r="E31" s="382" t="str">
        <f ca="1">IF(B31="","",IF(ISNA(VLOOKUP($B31,'B-1 On-Site Hedge Baseline'!$B$1:$L$257,5,FALSE)),"",(VLOOKUP($B31,'B-1 On-Site Hedge Baseline'!$B$1:$L$257,5,FALSE))))</f>
        <v>Low</v>
      </c>
      <c r="F31" s="382">
        <f ca="1">IF(B31="","",IF(ISNA(VLOOKUP($B31,'B-1 On-Site Hedge Baseline'!$B$1:$L$257,6,FALSE)),"",(VLOOKUP($B31,'B-1 On-Site Hedge Baseline'!$B$1:$L$257,6,FALSE))))</f>
        <v>2</v>
      </c>
      <c r="G31" s="382" t="str">
        <f ca="1">IF(B31="","",IF(ISNA(VLOOKUP($B31,'B-1 On-Site Hedge Baseline'!$B$1:$L$257,7,FALSE)),"",(VLOOKUP($B31,'B-1 On-Site Hedge Baseline'!$B$1:$L$257,7,FALSE))))</f>
        <v>Poor</v>
      </c>
      <c r="H31" s="382">
        <f ca="1">IF(B31="","",IF(ISNA(VLOOKUP($B31,'B-1 On-Site Hedge Baseline'!$B$1:$L$257,8,FALSE)),"",(VLOOKUP($B31,'B-1 On-Site Hedge Baseline'!$B$1:$L$257,8,FALSE))))</f>
        <v>1</v>
      </c>
      <c r="I31" s="382" t="str">
        <f ca="1">IF(B31="","",IF(ISNA(VLOOKUP($B31,'B-1 On-Site Hedge Baseline'!$B$1:$L$257,10,FALSE)),"",(VLOOKUP($B31,'B-1 On-Site Hedge Baseline'!$B$1:$L$257,10,FALSE))))</f>
        <v>Low Strategic Significance</v>
      </c>
      <c r="J31" s="382">
        <f ca="1">IF(B31="","",IF(ISNA(VLOOKUP($B31,'B-1 On-Site Hedge Baseline'!$B$1:$L$257,11,FALSE)),"",(VLOOKUP($B31,'B-1 On-Site Hedge Baseline'!$B$1:$L$257,11,FALSE))))</f>
        <v>1</v>
      </c>
      <c r="K31" s="382">
        <f ca="1">IF(B31="","",IF(ISNA(VLOOKUP($B31,'B-1 On-Site Hedge Baseline'!$B$1:$U$257,13,FALSE)),"",(VLOOKUP($B31,'B-1 On-Site Hedge Baseline'!$B$1:$U$257,13,FALSE))))</f>
        <v>0.36420000000000002</v>
      </c>
      <c r="L31" s="386" t="str">
        <f ca="1">IF(B31="","",IF(ISNA(VLOOKUP($B31,'B-1 On-Site Hedge Baseline'!$B$1:$U$257,12,FALSE)),"",(VLOOKUP($B31,'B-1 On-Site Hedge Baseline'!$B$1:$U$257,12,FALSE))))</f>
        <v>Same distinctiveness band or better</v>
      </c>
      <c r="M31" s="315" t="s">
        <v>171</v>
      </c>
      <c r="N31" s="362" t="str">
        <f ca="1">IFERROR(IF(B31="","",INDEX('G-6 Hedgerow Data'!$AN$3:$AZ$15,MATCH(C31,'G-6 Hedgerow Data'!$AM$3:$AM$15,0),MATCH(M31,'G-6 Hedgerow Data'!$AN$2:$AZ$2,0))),"")</f>
        <v>Low - Medium</v>
      </c>
      <c r="O31" s="363" t="str">
        <f t="shared" ca="1" si="2"/>
        <v>Lower Distinctiveness Habitat - Good</v>
      </c>
      <c r="P31" s="417">
        <f>IF(B31="","",VLOOKUP(B31,'B-1 On-Site Hedge Baseline'!$B$10:T276,16,FALSE))</f>
        <v>0.1384</v>
      </c>
      <c r="Q31" s="362" t="str">
        <f>IF(M31="","",VLOOKUP(M31,'G-6 Hedgerow Data'!$B$2:$AG$15,2,FALSE))</f>
        <v>Medium</v>
      </c>
      <c r="R31" s="363">
        <f>IF(M31="","",VLOOKUP(M31,'G-6 Hedgerow Data'!$B$2:$AG$15,3,FALSE))</f>
        <v>4</v>
      </c>
      <c r="S31" s="55" t="s">
        <v>68</v>
      </c>
      <c r="T31" s="401">
        <f>IFERROR(VLOOKUP(S31,'G-1 All Habitats'!$Z$2:$AA$9,2,FALSE),"")</f>
        <v>3</v>
      </c>
      <c r="U31" s="114" t="s">
        <v>1037</v>
      </c>
      <c r="V31" s="382" t="str">
        <f>IF(U31="","",IF(VLOOKUP(U31,'G-3 Multipliers'!$L$3:$N$6,2,FALSE)=0,"Spatial Data Missing ⚠",VLOOKUP(U31,'G-3 Multipliers'!$L$3:$N$6,2,FALSE)))</f>
        <v>Low Strategic Significance</v>
      </c>
      <c r="W31" s="386">
        <f>IF(U31="","",IF(VLOOKUP(U31,'G-3 Multipliers'!$L$3:$N$6,3,FALSE)=0,"Spatial Data Missing ⚠",VLOOKUP(U31,'G-3 Multipliers'!$L$3:$N$6,3,FALSE)))</f>
        <v>1</v>
      </c>
      <c r="X31" s="362">
        <f ca="1">IFERROR(IF(OR(LEFT(O31,5)="Error",LEFT(N31,5)="Error",T31="Error"),"Check Data ⚠",IF(F31&lt;R31,INDEX('G-6 Hedgerow Data'!$S$3:$AE$14,MATCH(C31,'G-6 Hedgerow Data'!$B$3:$B$14,0),MATCH(M31,'G-6 Hedgerow Data'!$S$2:$AE$2,0)),INDEX('G-6 Hedgerow Data'!$K$3:$Q$14,MATCH(M31,'G-6 Hedgerow Data'!$B$3:$B$14,0),MATCH(O31,'G-6 Hedgerow Data'!$K$2:$Q$2,0)))),"")</f>
        <v>5</v>
      </c>
      <c r="Y31" s="159"/>
      <c r="Z31" s="159"/>
      <c r="AA31" s="370" t="str">
        <f t="shared" ca="1" si="3"/>
        <v>Standard time to target condition applied</v>
      </c>
      <c r="AB31" s="383">
        <f t="shared" ca="1" si="4"/>
        <v>5</v>
      </c>
      <c r="AC31" s="384">
        <f t="shared" ca="1" si="0"/>
        <v>0.83682870060000003</v>
      </c>
      <c r="AD31" s="398" t="str">
        <f>IF(M31="","",VLOOKUP(M31,'G-6 Hedgerow Data'!$B$3:$AG$15,31,FALSE))</f>
        <v>Low</v>
      </c>
      <c r="AE31" s="370" t="str">
        <f t="shared" ca="1" si="5"/>
        <v>Standard difficulty applied</v>
      </c>
      <c r="AF31" s="370" t="str">
        <f t="shared" ca="1" si="6"/>
        <v>Low</v>
      </c>
      <c r="AG31" s="386">
        <f ca="1">IFERROR(IF(O31="","",VLOOKUP(AD31,'G-3 Multipliers'!$P$3:$Q$6,2,FALSE)),"")</f>
        <v>1</v>
      </c>
      <c r="AH31" s="376">
        <f t="shared" ca="1" si="7"/>
        <v>1.4349709216304001</v>
      </c>
      <c r="AI31" s="188"/>
      <c r="AJ31" s="118"/>
      <c r="AK31" s="120"/>
      <c r="AT31" s="30" t="str">
        <f>IFERROR(INDEX('G-6 Hedgerow Data'!$BJ$3:$BJ$15,MATCH(M31,'G-6 Hedgerow Data'!$B$3:$B$15,0)),"")</f>
        <v>Hedgecond1</v>
      </c>
    </row>
    <row r="32" spans="2:46" ht="28.5" x14ac:dyDescent="0.2">
      <c r="B32" s="392">
        <f>'B-1 On-Site Hedge Baseline'!AK30</f>
        <v>49</v>
      </c>
      <c r="C32" s="382" t="str">
        <f ca="1">IF(B32="","",IF(ISNA(VLOOKUP($B32,'B-1 On-Site Hedge Baseline'!$B$1:$L$257,3,FALSE)),"",(VLOOKUP($B32,'B-1 On-Site Hedge Baseline'!$B$1:$L$257,3,FALSE))))</f>
        <v>Native hedgerow</v>
      </c>
      <c r="D32" s="382">
        <f ca="1">IF(B32="","",IF(ISNA(VLOOKUP($B32,'B-1 On-Site Hedge Baseline'!$B$1:$L$257,4,FALSE)),"",(VLOOKUP($B32,'B-1 On-Site Hedge Baseline'!$B$1:$L$257,4,FALSE))))</f>
        <v>0.2394</v>
      </c>
      <c r="E32" s="382" t="str">
        <f ca="1">IF(B32="","",IF(ISNA(VLOOKUP($B32,'B-1 On-Site Hedge Baseline'!$B$1:$L$257,5,FALSE)),"",(VLOOKUP($B32,'B-1 On-Site Hedge Baseline'!$B$1:$L$257,5,FALSE))))</f>
        <v>Low</v>
      </c>
      <c r="F32" s="382">
        <f ca="1">IF(B32="","",IF(ISNA(VLOOKUP($B32,'B-1 On-Site Hedge Baseline'!$B$1:$L$257,6,FALSE)),"",(VLOOKUP($B32,'B-1 On-Site Hedge Baseline'!$B$1:$L$257,6,FALSE))))</f>
        <v>2</v>
      </c>
      <c r="G32" s="382" t="str">
        <f ca="1">IF(B32="","",IF(ISNA(VLOOKUP($B32,'B-1 On-Site Hedge Baseline'!$B$1:$L$257,7,FALSE)),"",(VLOOKUP($B32,'B-1 On-Site Hedge Baseline'!$B$1:$L$257,7,FALSE))))</f>
        <v>Poor</v>
      </c>
      <c r="H32" s="382">
        <f ca="1">IF(B32="","",IF(ISNA(VLOOKUP($B32,'B-1 On-Site Hedge Baseline'!$B$1:$L$257,8,FALSE)),"",(VLOOKUP($B32,'B-1 On-Site Hedge Baseline'!$B$1:$L$257,8,FALSE))))</f>
        <v>1</v>
      </c>
      <c r="I32" s="382" t="str">
        <f ca="1">IF(B32="","",IF(ISNA(VLOOKUP($B32,'B-1 On-Site Hedge Baseline'!$B$1:$L$257,10,FALSE)),"",(VLOOKUP($B32,'B-1 On-Site Hedge Baseline'!$B$1:$L$257,10,FALSE))))</f>
        <v>Low Strategic Significance</v>
      </c>
      <c r="J32" s="382">
        <f ca="1">IF(B32="","",IF(ISNA(VLOOKUP($B32,'B-1 On-Site Hedge Baseline'!$B$1:$L$257,11,FALSE)),"",(VLOOKUP($B32,'B-1 On-Site Hedge Baseline'!$B$1:$L$257,11,FALSE))))</f>
        <v>1</v>
      </c>
      <c r="K32" s="382">
        <f ca="1">IF(B32="","",IF(ISNA(VLOOKUP($B32,'B-1 On-Site Hedge Baseline'!$B$1:$U$257,13,FALSE)),"",(VLOOKUP($B32,'B-1 On-Site Hedge Baseline'!$B$1:$U$257,13,FALSE))))</f>
        <v>0.4788</v>
      </c>
      <c r="L32" s="386" t="str">
        <f ca="1">IF(B32="","",IF(ISNA(VLOOKUP($B32,'B-1 On-Site Hedge Baseline'!$B$1:$U$257,12,FALSE)),"",(VLOOKUP($B32,'B-1 On-Site Hedge Baseline'!$B$1:$U$257,12,FALSE))))</f>
        <v>Same distinctiveness band or better</v>
      </c>
      <c r="M32" s="315" t="s">
        <v>171</v>
      </c>
      <c r="N32" s="362" t="str">
        <f ca="1">IFERROR(IF(B32="","",INDEX('G-6 Hedgerow Data'!$AN$3:$AZ$15,MATCH(C32,'G-6 Hedgerow Data'!$AM$3:$AM$15,0),MATCH(M32,'G-6 Hedgerow Data'!$AN$2:$AZ$2,0))),"")</f>
        <v>Low - Medium</v>
      </c>
      <c r="O32" s="363" t="str">
        <f t="shared" ca="1" si="2"/>
        <v>Lower Distinctiveness Habitat - Good</v>
      </c>
      <c r="P32" s="417">
        <f>IF(B32="","",VLOOKUP(B32,'B-1 On-Site Hedge Baseline'!$B$10:T277,16,FALSE))</f>
        <v>0.2394</v>
      </c>
      <c r="Q32" s="362" t="str">
        <f>IF(M32="","",VLOOKUP(M32,'G-6 Hedgerow Data'!$B$2:$AG$15,2,FALSE))</f>
        <v>Medium</v>
      </c>
      <c r="R32" s="363">
        <f>IF(M32="","",VLOOKUP(M32,'G-6 Hedgerow Data'!$B$2:$AG$15,3,FALSE))</f>
        <v>4</v>
      </c>
      <c r="S32" s="55" t="s">
        <v>68</v>
      </c>
      <c r="T32" s="401">
        <f>IFERROR(VLOOKUP(S32,'G-1 All Habitats'!$Z$2:$AA$9,2,FALSE),"")</f>
        <v>3</v>
      </c>
      <c r="U32" s="114" t="s">
        <v>1037</v>
      </c>
      <c r="V32" s="382" t="str">
        <f>IF(U32="","",IF(VLOOKUP(U32,'G-3 Multipliers'!$L$3:$N$6,2,FALSE)=0,"Spatial Data Missing ⚠",VLOOKUP(U32,'G-3 Multipliers'!$L$3:$N$6,2,FALSE)))</f>
        <v>Low Strategic Significance</v>
      </c>
      <c r="W32" s="386">
        <f>IF(U32="","",IF(VLOOKUP(U32,'G-3 Multipliers'!$L$3:$N$6,3,FALSE)=0,"Spatial Data Missing ⚠",VLOOKUP(U32,'G-3 Multipliers'!$L$3:$N$6,3,FALSE)))</f>
        <v>1</v>
      </c>
      <c r="X32" s="362">
        <f ca="1">IFERROR(IF(OR(LEFT(O32,5)="Error",LEFT(N32,5)="Error",T32="Error"),"Check Data ⚠",IF(F32&lt;R32,INDEX('G-6 Hedgerow Data'!$S$3:$AE$14,MATCH(C32,'G-6 Hedgerow Data'!$B$3:$B$14,0),MATCH(M32,'G-6 Hedgerow Data'!$S$2:$AE$2,0)),INDEX('G-6 Hedgerow Data'!$K$3:$Q$14,MATCH(M32,'G-6 Hedgerow Data'!$B$3:$B$14,0),MATCH(O32,'G-6 Hedgerow Data'!$K$2:$Q$2,0)))),"")</f>
        <v>5</v>
      </c>
      <c r="Y32" s="159"/>
      <c r="Z32" s="159"/>
      <c r="AA32" s="370" t="str">
        <f t="shared" ca="1" si="3"/>
        <v>Standard time to target condition applied</v>
      </c>
      <c r="AB32" s="383">
        <f t="shared" ca="1" si="4"/>
        <v>5</v>
      </c>
      <c r="AC32" s="384">
        <f t="shared" ca="1" si="0"/>
        <v>0.83682870060000003</v>
      </c>
      <c r="AD32" s="398" t="str">
        <f>IF(M32="","",VLOOKUP(M32,'G-6 Hedgerow Data'!$B$3:$AG$15,31,FALSE))</f>
        <v>Low</v>
      </c>
      <c r="AE32" s="370" t="str">
        <f t="shared" ca="1" si="5"/>
        <v>Standard difficulty applied</v>
      </c>
      <c r="AF32" s="370" t="str">
        <f t="shared" ca="1" si="6"/>
        <v>Low</v>
      </c>
      <c r="AG32" s="386">
        <f ca="1">IFERROR(IF(O32="","",VLOOKUP(AD32,'G-3 Multipliers'!$P$3:$Q$6,2,FALSE)),"")</f>
        <v>1</v>
      </c>
      <c r="AH32" s="376">
        <f t="shared" ca="1" si="7"/>
        <v>2.4821679092364</v>
      </c>
      <c r="AI32" s="188"/>
      <c r="AJ32" s="118"/>
      <c r="AK32" s="120"/>
      <c r="AT32" s="30" t="str">
        <f>IFERROR(INDEX('G-6 Hedgerow Data'!$BJ$3:$BJ$15,MATCH(M32,'G-6 Hedgerow Data'!$B$3:$B$15,0)),"")</f>
        <v>Hedgecond1</v>
      </c>
    </row>
    <row r="33" spans="2:46" ht="28.5" x14ac:dyDescent="0.2">
      <c r="B33" s="392">
        <f>'B-1 On-Site Hedge Baseline'!AK31</f>
        <v>52</v>
      </c>
      <c r="C33" s="382" t="str">
        <f ca="1">IF(B33="","",IF(ISNA(VLOOKUP($B33,'B-1 On-Site Hedge Baseline'!$B$1:$L$257,3,FALSE)),"",(VLOOKUP($B33,'B-1 On-Site Hedge Baseline'!$B$1:$L$257,3,FALSE))))</f>
        <v>Native hedgerow</v>
      </c>
      <c r="D33" s="382">
        <f ca="1">IF(B33="","",IF(ISNA(VLOOKUP($B33,'B-1 On-Site Hedge Baseline'!$B$1:$L$257,4,FALSE)),"",(VLOOKUP($B33,'B-1 On-Site Hedge Baseline'!$B$1:$L$257,4,FALSE))))</f>
        <v>0.40050000000000002</v>
      </c>
      <c r="E33" s="382" t="str">
        <f ca="1">IF(B33="","",IF(ISNA(VLOOKUP($B33,'B-1 On-Site Hedge Baseline'!$B$1:$L$257,5,FALSE)),"",(VLOOKUP($B33,'B-1 On-Site Hedge Baseline'!$B$1:$L$257,5,FALSE))))</f>
        <v>Low</v>
      </c>
      <c r="F33" s="382">
        <f ca="1">IF(B33="","",IF(ISNA(VLOOKUP($B33,'B-1 On-Site Hedge Baseline'!$B$1:$L$257,6,FALSE)),"",(VLOOKUP($B33,'B-1 On-Site Hedge Baseline'!$B$1:$L$257,6,FALSE))))</f>
        <v>2</v>
      </c>
      <c r="G33" s="382" t="str">
        <f ca="1">IF(B33="","",IF(ISNA(VLOOKUP($B33,'B-1 On-Site Hedge Baseline'!$B$1:$L$257,7,FALSE)),"",(VLOOKUP($B33,'B-1 On-Site Hedge Baseline'!$B$1:$L$257,7,FALSE))))</f>
        <v>Poor</v>
      </c>
      <c r="H33" s="382">
        <f ca="1">IF(B33="","",IF(ISNA(VLOOKUP($B33,'B-1 On-Site Hedge Baseline'!$B$1:$L$257,8,FALSE)),"",(VLOOKUP($B33,'B-1 On-Site Hedge Baseline'!$B$1:$L$257,8,FALSE))))</f>
        <v>1</v>
      </c>
      <c r="I33" s="382" t="str">
        <f ca="1">IF(B33="","",IF(ISNA(VLOOKUP($B33,'B-1 On-Site Hedge Baseline'!$B$1:$L$257,10,FALSE)),"",(VLOOKUP($B33,'B-1 On-Site Hedge Baseline'!$B$1:$L$257,10,FALSE))))</f>
        <v>Low Strategic Significance</v>
      </c>
      <c r="J33" s="382">
        <f ca="1">IF(B33="","",IF(ISNA(VLOOKUP($B33,'B-1 On-Site Hedge Baseline'!$B$1:$L$257,11,FALSE)),"",(VLOOKUP($B33,'B-1 On-Site Hedge Baseline'!$B$1:$L$257,11,FALSE))))</f>
        <v>1</v>
      </c>
      <c r="K33" s="382">
        <f ca="1">IF(B33="","",IF(ISNA(VLOOKUP($B33,'B-1 On-Site Hedge Baseline'!$B$1:$U$257,13,FALSE)),"",(VLOOKUP($B33,'B-1 On-Site Hedge Baseline'!$B$1:$U$257,13,FALSE))))</f>
        <v>0.80100000000000005</v>
      </c>
      <c r="L33" s="386" t="str">
        <f ca="1">IF(B33="","",IF(ISNA(VLOOKUP($B33,'B-1 On-Site Hedge Baseline'!$B$1:$U$257,12,FALSE)),"",(VLOOKUP($B33,'B-1 On-Site Hedge Baseline'!$B$1:$U$257,12,FALSE))))</f>
        <v>Same distinctiveness band or better</v>
      </c>
      <c r="M33" s="315" t="s">
        <v>171</v>
      </c>
      <c r="N33" s="362" t="str">
        <f ca="1">IFERROR(IF(B33="","",INDEX('G-6 Hedgerow Data'!$AN$3:$AZ$15,MATCH(C33,'G-6 Hedgerow Data'!$AM$3:$AM$15,0),MATCH(M33,'G-6 Hedgerow Data'!$AN$2:$AZ$2,0))),"")</f>
        <v>Low - Medium</v>
      </c>
      <c r="O33" s="363" t="str">
        <f t="shared" ca="1" si="2"/>
        <v>Lower Distinctiveness Habitat - Good</v>
      </c>
      <c r="P33" s="417">
        <f>IF(B33="","",VLOOKUP(B33,'B-1 On-Site Hedge Baseline'!$B$10:T278,16,FALSE))</f>
        <v>0.40050000000000002</v>
      </c>
      <c r="Q33" s="362" t="str">
        <f>IF(M33="","",VLOOKUP(M33,'G-6 Hedgerow Data'!$B$2:$AG$15,2,FALSE))</f>
        <v>Medium</v>
      </c>
      <c r="R33" s="363">
        <f>IF(M33="","",VLOOKUP(M33,'G-6 Hedgerow Data'!$B$2:$AG$15,3,FALSE))</f>
        <v>4</v>
      </c>
      <c r="S33" s="55" t="s">
        <v>68</v>
      </c>
      <c r="T33" s="401">
        <f>IFERROR(VLOOKUP(S33,'G-1 All Habitats'!$Z$2:$AA$9,2,FALSE),"")</f>
        <v>3</v>
      </c>
      <c r="U33" s="114" t="s">
        <v>1037</v>
      </c>
      <c r="V33" s="382" t="str">
        <f>IF(U33="","",IF(VLOOKUP(U33,'G-3 Multipliers'!$L$3:$N$6,2,FALSE)=0,"Spatial Data Missing ⚠",VLOOKUP(U33,'G-3 Multipliers'!$L$3:$N$6,2,FALSE)))</f>
        <v>Low Strategic Significance</v>
      </c>
      <c r="W33" s="386">
        <f>IF(U33="","",IF(VLOOKUP(U33,'G-3 Multipliers'!$L$3:$N$6,3,FALSE)=0,"Spatial Data Missing ⚠",VLOOKUP(U33,'G-3 Multipliers'!$L$3:$N$6,3,FALSE)))</f>
        <v>1</v>
      </c>
      <c r="X33" s="362">
        <f ca="1">IFERROR(IF(OR(LEFT(O33,5)="Error",LEFT(N33,5)="Error",T33="Error"),"Check Data ⚠",IF(F33&lt;R33,INDEX('G-6 Hedgerow Data'!$S$3:$AE$14,MATCH(C33,'G-6 Hedgerow Data'!$B$3:$B$14,0),MATCH(M33,'G-6 Hedgerow Data'!$S$2:$AE$2,0)),INDEX('G-6 Hedgerow Data'!$K$3:$Q$14,MATCH(M33,'G-6 Hedgerow Data'!$B$3:$B$14,0),MATCH(O33,'G-6 Hedgerow Data'!$K$2:$Q$2,0)))),"")</f>
        <v>5</v>
      </c>
      <c r="Y33" s="159"/>
      <c r="Z33" s="159"/>
      <c r="AA33" s="370" t="str">
        <f t="shared" ca="1" si="3"/>
        <v>Standard time to target condition applied</v>
      </c>
      <c r="AB33" s="383">
        <f t="shared" ca="1" si="4"/>
        <v>5</v>
      </c>
      <c r="AC33" s="384">
        <f t="shared" ca="1" si="0"/>
        <v>0.83682870060000003</v>
      </c>
      <c r="AD33" s="398" t="str">
        <f>IF(M33="","",VLOOKUP(M33,'G-6 Hedgerow Data'!$B$3:$AG$15,31,FALSE))</f>
        <v>Low</v>
      </c>
      <c r="AE33" s="370" t="str">
        <f t="shared" ca="1" si="5"/>
        <v>Standard difficulty applied</v>
      </c>
      <c r="AF33" s="370" t="str">
        <f t="shared" ca="1" si="6"/>
        <v>Low</v>
      </c>
      <c r="AG33" s="386">
        <f ca="1">IFERROR(IF(O33="","",VLOOKUP(AD33,'G-3 Multipliers'!$P$3:$Q$6,2,FALSE)),"")</f>
        <v>1</v>
      </c>
      <c r="AH33" s="376">
        <f t="shared" ca="1" si="7"/>
        <v>4.1524989459029999</v>
      </c>
      <c r="AI33" s="188"/>
      <c r="AJ33" s="118"/>
      <c r="AK33" s="120"/>
      <c r="AT33" s="30" t="str">
        <f>IFERROR(INDEX('G-6 Hedgerow Data'!$BJ$3:$BJ$15,MATCH(M33,'G-6 Hedgerow Data'!$B$3:$B$15,0)),"")</f>
        <v>Hedgecond1</v>
      </c>
    </row>
    <row r="34" spans="2:46" ht="28.5" x14ac:dyDescent="0.2">
      <c r="B34" s="392">
        <f>'B-1 On-Site Hedge Baseline'!AK32</f>
        <v>53</v>
      </c>
      <c r="C34" s="382" t="str">
        <f ca="1">IF(B34="","",IF(ISNA(VLOOKUP($B34,'B-1 On-Site Hedge Baseline'!$B$1:$L$257,3,FALSE)),"",(VLOOKUP($B34,'B-1 On-Site Hedge Baseline'!$B$1:$L$257,3,FALSE))))</f>
        <v>Native hedgerow</v>
      </c>
      <c r="D34" s="382">
        <f ca="1">IF(B34="","",IF(ISNA(VLOOKUP($B34,'B-1 On-Site Hedge Baseline'!$B$1:$L$257,4,FALSE)),"",(VLOOKUP($B34,'B-1 On-Site Hedge Baseline'!$B$1:$L$257,4,FALSE))))</f>
        <v>0.17319999999999999</v>
      </c>
      <c r="E34" s="382" t="str">
        <f ca="1">IF(B34="","",IF(ISNA(VLOOKUP($B34,'B-1 On-Site Hedge Baseline'!$B$1:$L$257,5,FALSE)),"",(VLOOKUP($B34,'B-1 On-Site Hedge Baseline'!$B$1:$L$257,5,FALSE))))</f>
        <v>Low</v>
      </c>
      <c r="F34" s="382">
        <f ca="1">IF(B34="","",IF(ISNA(VLOOKUP($B34,'B-1 On-Site Hedge Baseline'!$B$1:$L$257,6,FALSE)),"",(VLOOKUP($B34,'B-1 On-Site Hedge Baseline'!$B$1:$L$257,6,FALSE))))</f>
        <v>2</v>
      </c>
      <c r="G34" s="382" t="str">
        <f ca="1">IF(B34="","",IF(ISNA(VLOOKUP($B34,'B-1 On-Site Hedge Baseline'!$B$1:$L$257,7,FALSE)),"",(VLOOKUP($B34,'B-1 On-Site Hedge Baseline'!$B$1:$L$257,7,FALSE))))</f>
        <v>Poor</v>
      </c>
      <c r="H34" s="382">
        <f ca="1">IF(B34="","",IF(ISNA(VLOOKUP($B34,'B-1 On-Site Hedge Baseline'!$B$1:$L$257,8,FALSE)),"",(VLOOKUP($B34,'B-1 On-Site Hedge Baseline'!$B$1:$L$257,8,FALSE))))</f>
        <v>1</v>
      </c>
      <c r="I34" s="382" t="str">
        <f ca="1">IF(B34="","",IF(ISNA(VLOOKUP($B34,'B-1 On-Site Hedge Baseline'!$B$1:$L$257,10,FALSE)),"",(VLOOKUP($B34,'B-1 On-Site Hedge Baseline'!$B$1:$L$257,10,FALSE))))</f>
        <v>Low Strategic Significance</v>
      </c>
      <c r="J34" s="382">
        <f ca="1">IF(B34="","",IF(ISNA(VLOOKUP($B34,'B-1 On-Site Hedge Baseline'!$B$1:$L$257,11,FALSE)),"",(VLOOKUP($B34,'B-1 On-Site Hedge Baseline'!$B$1:$L$257,11,FALSE))))</f>
        <v>1</v>
      </c>
      <c r="K34" s="382">
        <f ca="1">IF(B34="","",IF(ISNA(VLOOKUP($B34,'B-1 On-Site Hedge Baseline'!$B$1:$U$257,13,FALSE)),"",(VLOOKUP($B34,'B-1 On-Site Hedge Baseline'!$B$1:$U$257,13,FALSE))))</f>
        <v>0.34639999999999999</v>
      </c>
      <c r="L34" s="386" t="str">
        <f ca="1">IF(B34="","",IF(ISNA(VLOOKUP($B34,'B-1 On-Site Hedge Baseline'!$B$1:$U$257,12,FALSE)),"",(VLOOKUP($B34,'B-1 On-Site Hedge Baseline'!$B$1:$U$257,12,FALSE))))</f>
        <v>Same distinctiveness band or better</v>
      </c>
      <c r="M34" s="315" t="s">
        <v>171</v>
      </c>
      <c r="N34" s="362" t="str">
        <f ca="1">IFERROR(IF(B34="","",INDEX('G-6 Hedgerow Data'!$AN$3:$AZ$15,MATCH(C34,'G-6 Hedgerow Data'!$AM$3:$AM$15,0),MATCH(M34,'G-6 Hedgerow Data'!$AN$2:$AZ$2,0))),"")</f>
        <v>Low - Medium</v>
      </c>
      <c r="O34" s="363" t="str">
        <f t="shared" ca="1" si="2"/>
        <v>Lower Distinctiveness Habitat - Good</v>
      </c>
      <c r="P34" s="417">
        <f>IF(B34="","",VLOOKUP(B34,'B-1 On-Site Hedge Baseline'!$B$10:T279,16,FALSE))</f>
        <v>9.35E-2</v>
      </c>
      <c r="Q34" s="362" t="str">
        <f>IF(M34="","",VLOOKUP(M34,'G-6 Hedgerow Data'!$B$2:$AG$15,2,FALSE))</f>
        <v>Medium</v>
      </c>
      <c r="R34" s="363">
        <f>IF(M34="","",VLOOKUP(M34,'G-6 Hedgerow Data'!$B$2:$AG$15,3,FALSE))</f>
        <v>4</v>
      </c>
      <c r="S34" s="55" t="s">
        <v>68</v>
      </c>
      <c r="T34" s="401">
        <f>IFERROR(VLOOKUP(S34,'G-1 All Habitats'!$Z$2:$AA$9,2,FALSE),"")</f>
        <v>3</v>
      </c>
      <c r="U34" s="114" t="s">
        <v>1037</v>
      </c>
      <c r="V34" s="382" t="str">
        <f>IF(U34="","",IF(VLOOKUP(U34,'G-3 Multipliers'!$L$3:$N$6,2,FALSE)=0,"Spatial Data Missing ⚠",VLOOKUP(U34,'G-3 Multipliers'!$L$3:$N$6,2,FALSE)))</f>
        <v>Low Strategic Significance</v>
      </c>
      <c r="W34" s="386">
        <f>IF(U34="","",IF(VLOOKUP(U34,'G-3 Multipliers'!$L$3:$N$6,3,FALSE)=0,"Spatial Data Missing ⚠",VLOOKUP(U34,'G-3 Multipliers'!$L$3:$N$6,3,FALSE)))</f>
        <v>1</v>
      </c>
      <c r="X34" s="362">
        <f ca="1">IFERROR(IF(OR(LEFT(O34,5)="Error",LEFT(N34,5)="Error",T34="Error"),"Check Data ⚠",IF(F34&lt;R34,INDEX('G-6 Hedgerow Data'!$S$3:$AE$14,MATCH(C34,'G-6 Hedgerow Data'!$B$3:$B$14,0),MATCH(M34,'G-6 Hedgerow Data'!$S$2:$AE$2,0)),INDEX('G-6 Hedgerow Data'!$K$3:$Q$14,MATCH(M34,'G-6 Hedgerow Data'!$B$3:$B$14,0),MATCH(O34,'G-6 Hedgerow Data'!$K$2:$Q$2,0)))),"")</f>
        <v>5</v>
      </c>
      <c r="Y34" s="159"/>
      <c r="Z34" s="159"/>
      <c r="AA34" s="370" t="str">
        <f t="shared" ca="1" si="3"/>
        <v>Standard time to target condition applied</v>
      </c>
      <c r="AB34" s="383">
        <f t="shared" ca="1" si="4"/>
        <v>5</v>
      </c>
      <c r="AC34" s="384">
        <f t="shared" ca="1" si="0"/>
        <v>0.83682870060000003</v>
      </c>
      <c r="AD34" s="398" t="str">
        <f>IF(M34="","",VLOOKUP(M34,'G-6 Hedgerow Data'!$B$3:$AG$15,31,FALSE))</f>
        <v>Low</v>
      </c>
      <c r="AE34" s="370" t="str">
        <f t="shared" ca="1" si="5"/>
        <v>Standard difficulty applied</v>
      </c>
      <c r="AF34" s="370" t="str">
        <f t="shared" ca="1" si="6"/>
        <v>Low</v>
      </c>
      <c r="AG34" s="386">
        <f ca="1">IFERROR(IF(O34="","",VLOOKUP(AD34,'G-3 Multipliers'!$P$3:$Q$6,2,FALSE)),"")</f>
        <v>1</v>
      </c>
      <c r="AH34" s="376">
        <f t="shared" ca="1" si="7"/>
        <v>0.96943483506099981</v>
      </c>
      <c r="AI34" s="188"/>
      <c r="AJ34" s="118"/>
      <c r="AK34" s="120"/>
      <c r="AT34" s="30" t="str">
        <f>IFERROR(INDEX('G-6 Hedgerow Data'!$BJ$3:$BJ$15,MATCH(M34,'G-6 Hedgerow Data'!$B$3:$B$15,0)),"")</f>
        <v>Hedgecond1</v>
      </c>
    </row>
    <row r="35" spans="2:46" ht="28.5" x14ac:dyDescent="0.2">
      <c r="B35" s="392">
        <f>'B-1 On-Site Hedge Baseline'!AK33</f>
        <v>55</v>
      </c>
      <c r="C35" s="382" t="str">
        <f ca="1">IF(B35="","",IF(ISNA(VLOOKUP($B35,'B-1 On-Site Hedge Baseline'!$B$1:$L$257,3,FALSE)),"",(VLOOKUP($B35,'B-1 On-Site Hedge Baseline'!$B$1:$L$257,3,FALSE))))</f>
        <v>Species-rich native hedgerow</v>
      </c>
      <c r="D35" s="382">
        <f ca="1">IF(B35="","",IF(ISNA(VLOOKUP($B35,'B-1 On-Site Hedge Baseline'!$B$1:$L$257,4,FALSE)),"",(VLOOKUP($B35,'B-1 On-Site Hedge Baseline'!$B$1:$L$257,4,FALSE))))</f>
        <v>0.65290000000000004</v>
      </c>
      <c r="E35" s="382" t="str">
        <f ca="1">IF(B35="","",IF(ISNA(VLOOKUP($B35,'B-1 On-Site Hedge Baseline'!$B$1:$L$257,5,FALSE)),"",(VLOOKUP($B35,'B-1 On-Site Hedge Baseline'!$B$1:$L$257,5,FALSE))))</f>
        <v>Medium</v>
      </c>
      <c r="F35" s="382">
        <f ca="1">IF(B35="","",IF(ISNA(VLOOKUP($B35,'B-1 On-Site Hedge Baseline'!$B$1:$L$257,6,FALSE)),"",(VLOOKUP($B35,'B-1 On-Site Hedge Baseline'!$B$1:$L$257,6,FALSE))))</f>
        <v>4</v>
      </c>
      <c r="G35" s="382" t="str">
        <f ca="1">IF(B35="","",IF(ISNA(VLOOKUP($B35,'B-1 On-Site Hedge Baseline'!$B$1:$L$257,7,FALSE)),"",(VLOOKUP($B35,'B-1 On-Site Hedge Baseline'!$B$1:$L$257,7,FALSE))))</f>
        <v>Good</v>
      </c>
      <c r="H35" s="382">
        <f ca="1">IF(B35="","",IF(ISNA(VLOOKUP($B35,'B-1 On-Site Hedge Baseline'!$B$1:$L$257,8,FALSE)),"",(VLOOKUP($B35,'B-1 On-Site Hedge Baseline'!$B$1:$L$257,8,FALSE))))</f>
        <v>3</v>
      </c>
      <c r="I35" s="382" t="str">
        <f ca="1">IF(B35="","",IF(ISNA(VLOOKUP($B35,'B-1 On-Site Hedge Baseline'!$B$1:$L$257,10,FALSE)),"",(VLOOKUP($B35,'B-1 On-Site Hedge Baseline'!$B$1:$L$257,10,FALSE))))</f>
        <v>Low Strategic Significance</v>
      </c>
      <c r="J35" s="382">
        <f ca="1">IF(B35="","",IF(ISNA(VLOOKUP($B35,'B-1 On-Site Hedge Baseline'!$B$1:$L$257,11,FALSE)),"",(VLOOKUP($B35,'B-1 On-Site Hedge Baseline'!$B$1:$L$257,11,FALSE))))</f>
        <v>1</v>
      </c>
      <c r="K35" s="382">
        <f ca="1">IF(B35="","",IF(ISNA(VLOOKUP($B35,'B-1 On-Site Hedge Baseline'!$B$1:$U$257,13,FALSE)),"",(VLOOKUP($B35,'B-1 On-Site Hedge Baseline'!$B$1:$U$257,13,FALSE))))</f>
        <v>7.8348000000000004</v>
      </c>
      <c r="L35" s="386" t="str">
        <f ca="1">IF(B35="","",IF(ISNA(VLOOKUP($B35,'B-1 On-Site Hedge Baseline'!$B$1:$U$257,12,FALSE)),"",(VLOOKUP($B35,'B-1 On-Site Hedge Baseline'!$B$1:$U$257,12,FALSE))))</f>
        <v>Same distinctiveness band or better</v>
      </c>
      <c r="M35" s="315" t="s">
        <v>168</v>
      </c>
      <c r="N35" s="362" t="str">
        <f ca="1">IFERROR(IF(B35="","",INDEX('G-6 Hedgerow Data'!$AN$3:$AZ$15,MATCH(C35,'G-6 Hedgerow Data'!$AM$3:$AM$15,0),MATCH(M35,'G-6 Hedgerow Data'!$AN$2:$AZ$2,0))),"")</f>
        <v>Medium - High</v>
      </c>
      <c r="O35" s="363" t="str">
        <f t="shared" ca="1" si="2"/>
        <v>Lower Distinctiveness Habitat - Good</v>
      </c>
      <c r="P35" s="417">
        <f>IF(B35="","",VLOOKUP(B35,'B-1 On-Site Hedge Baseline'!$B$10:T280,16,FALSE))</f>
        <v>0.61</v>
      </c>
      <c r="Q35" s="362" t="str">
        <f>IF(M35="","",VLOOKUP(M35,'G-6 Hedgerow Data'!$B$2:$AG$15,2,FALSE))</f>
        <v>High</v>
      </c>
      <c r="R35" s="363">
        <f>IF(M35="","",VLOOKUP(M35,'G-6 Hedgerow Data'!$B$2:$AG$15,3,FALSE))</f>
        <v>6</v>
      </c>
      <c r="S35" s="55" t="s">
        <v>68</v>
      </c>
      <c r="T35" s="401">
        <f>IFERROR(VLOOKUP(S35,'G-1 All Habitats'!$Z$2:$AA$9,2,FALSE),"")</f>
        <v>3</v>
      </c>
      <c r="U35" s="114" t="s">
        <v>1037</v>
      </c>
      <c r="V35" s="382" t="str">
        <f>IF(U35="","",IF(VLOOKUP(U35,'G-3 Multipliers'!$L$3:$N$6,2,FALSE)=0,"Spatial Data Missing ⚠",VLOOKUP(U35,'G-3 Multipliers'!$L$3:$N$6,2,FALSE)))</f>
        <v>Low Strategic Significance</v>
      </c>
      <c r="W35" s="386">
        <f>IF(U35="","",IF(VLOOKUP(U35,'G-3 Multipliers'!$L$3:$N$6,3,FALSE)=0,"Spatial Data Missing ⚠",VLOOKUP(U35,'G-3 Multipliers'!$L$3:$N$6,3,FALSE)))</f>
        <v>1</v>
      </c>
      <c r="X35" s="362">
        <f ca="1">IFERROR(IF(OR(LEFT(O35,5)="Error",LEFT(N35,5)="Error",T35="Error"),"Check Data ⚠",IF(F35&lt;R35,INDEX('G-6 Hedgerow Data'!$S$3:$AE$14,MATCH(C35,'G-6 Hedgerow Data'!$B$3:$B$14,0),MATCH(M35,'G-6 Hedgerow Data'!$S$2:$AE$2,0)),INDEX('G-6 Hedgerow Data'!$K$3:$Q$14,MATCH(M35,'G-6 Hedgerow Data'!$B$3:$B$14,0),MATCH(O35,'G-6 Hedgerow Data'!$K$2:$Q$2,0)))),"")</f>
        <v>10</v>
      </c>
      <c r="Y35" s="159"/>
      <c r="Z35" s="159"/>
      <c r="AA35" s="370" t="str">
        <f t="shared" ca="1" si="3"/>
        <v>Standard time to target condition applied</v>
      </c>
      <c r="AB35" s="383">
        <f t="shared" ca="1" si="4"/>
        <v>10</v>
      </c>
      <c r="AC35" s="384">
        <f t="shared" ca="1" si="0"/>
        <v>0.70028227419999989</v>
      </c>
      <c r="AD35" s="398" t="str">
        <f>IF(M35="","",VLOOKUP(M35,'G-6 Hedgerow Data'!$B$3:$AG$15,31,FALSE))</f>
        <v>Low</v>
      </c>
      <c r="AE35" s="370" t="str">
        <f t="shared" ca="1" si="5"/>
        <v>Standard difficulty applied</v>
      </c>
      <c r="AF35" s="370" t="str">
        <f t="shared" ca="1" si="6"/>
        <v>Low</v>
      </c>
      <c r="AG35" s="386">
        <f ca="1">IFERROR(IF(O35="","",VLOOKUP(AD35,'G-3 Multipliers'!$P$3:$Q$6,2,FALSE)),"")</f>
        <v>1</v>
      </c>
      <c r="AH35" s="376">
        <f t="shared" ca="1" si="7"/>
        <v>9.8830331235719999</v>
      </c>
      <c r="AI35" s="188"/>
      <c r="AJ35" s="118"/>
      <c r="AK35" s="120"/>
      <c r="AT35" s="30" t="str">
        <f>IFERROR(INDEX('G-6 Hedgerow Data'!$BJ$3:$BJ$15,MATCH(M35,'G-6 Hedgerow Data'!$B$3:$B$15,0)),"")</f>
        <v>Hedgecond1</v>
      </c>
    </row>
    <row r="36" spans="2:46" ht="28.5" x14ac:dyDescent="0.2">
      <c r="B36" s="392">
        <f>'B-1 On-Site Hedge Baseline'!AK34</f>
        <v>60</v>
      </c>
      <c r="C36" s="382" t="str">
        <f ca="1">IF(B36="","",IF(ISNA(VLOOKUP($B36,'B-1 On-Site Hedge Baseline'!$B$1:$L$257,3,FALSE)),"",(VLOOKUP($B36,'B-1 On-Site Hedge Baseline'!$B$1:$L$257,3,FALSE))))</f>
        <v>Species-rich native hedgerow</v>
      </c>
      <c r="D36" s="382">
        <f ca="1">IF(B36="","",IF(ISNA(VLOOKUP($B36,'B-1 On-Site Hedge Baseline'!$B$1:$L$257,4,FALSE)),"",(VLOOKUP($B36,'B-1 On-Site Hedge Baseline'!$B$1:$L$257,4,FALSE))))</f>
        <v>0.56879999999999997</v>
      </c>
      <c r="E36" s="382" t="str">
        <f ca="1">IF(B36="","",IF(ISNA(VLOOKUP($B36,'B-1 On-Site Hedge Baseline'!$B$1:$L$257,5,FALSE)),"",(VLOOKUP($B36,'B-1 On-Site Hedge Baseline'!$B$1:$L$257,5,FALSE))))</f>
        <v>Medium</v>
      </c>
      <c r="F36" s="382">
        <f ca="1">IF(B36="","",IF(ISNA(VLOOKUP($B36,'B-1 On-Site Hedge Baseline'!$B$1:$L$257,6,FALSE)),"",(VLOOKUP($B36,'B-1 On-Site Hedge Baseline'!$B$1:$L$257,6,FALSE))))</f>
        <v>4</v>
      </c>
      <c r="G36" s="382" t="str">
        <f ca="1">IF(B36="","",IF(ISNA(VLOOKUP($B36,'B-1 On-Site Hedge Baseline'!$B$1:$L$257,7,FALSE)),"",(VLOOKUP($B36,'B-1 On-Site Hedge Baseline'!$B$1:$L$257,7,FALSE))))</f>
        <v>Moderate</v>
      </c>
      <c r="H36" s="382">
        <f ca="1">IF(B36="","",IF(ISNA(VLOOKUP($B36,'B-1 On-Site Hedge Baseline'!$B$1:$L$257,8,FALSE)),"",(VLOOKUP($B36,'B-1 On-Site Hedge Baseline'!$B$1:$L$257,8,FALSE))))</f>
        <v>2</v>
      </c>
      <c r="I36" s="382" t="str">
        <f ca="1">IF(B36="","",IF(ISNA(VLOOKUP($B36,'B-1 On-Site Hedge Baseline'!$B$1:$L$257,10,FALSE)),"",(VLOOKUP($B36,'B-1 On-Site Hedge Baseline'!$B$1:$L$257,10,FALSE))))</f>
        <v>Low Strategic Significance</v>
      </c>
      <c r="J36" s="382">
        <f ca="1">IF(B36="","",IF(ISNA(VLOOKUP($B36,'B-1 On-Site Hedge Baseline'!$B$1:$L$257,11,FALSE)),"",(VLOOKUP($B36,'B-1 On-Site Hedge Baseline'!$B$1:$L$257,11,FALSE))))</f>
        <v>1</v>
      </c>
      <c r="K36" s="382">
        <f ca="1">IF(B36="","",IF(ISNA(VLOOKUP($B36,'B-1 On-Site Hedge Baseline'!$B$1:$U$257,13,FALSE)),"",(VLOOKUP($B36,'B-1 On-Site Hedge Baseline'!$B$1:$U$257,13,FALSE))))</f>
        <v>4.5503999999999998</v>
      </c>
      <c r="L36" s="386" t="str">
        <f ca="1">IF(B36="","",IF(ISNA(VLOOKUP($B36,'B-1 On-Site Hedge Baseline'!$B$1:$U$257,12,FALSE)),"",(VLOOKUP($B36,'B-1 On-Site Hedge Baseline'!$B$1:$U$257,12,FALSE))))</f>
        <v>Same distinctiveness band or better</v>
      </c>
      <c r="M36" s="315" t="str">
        <f t="shared" ca="1" si="1"/>
        <v>Species-rich native hedgerow</v>
      </c>
      <c r="N36" s="362" t="str">
        <f ca="1">IFERROR(IF(B36="","",INDEX('G-6 Hedgerow Data'!$AN$3:$AZ$15,MATCH(C36,'G-6 Hedgerow Data'!$AM$3:$AM$15,0),MATCH(M36,'G-6 Hedgerow Data'!$AN$2:$AZ$2,0))),"")</f>
        <v>Medium - Medium</v>
      </c>
      <c r="O36" s="363" t="str">
        <f t="shared" ca="1" si="2"/>
        <v>Moderate - Good</v>
      </c>
      <c r="P36" s="417">
        <f>IF(B36="","",VLOOKUP(B36,'B-1 On-Site Hedge Baseline'!$B$10:T281,16,FALSE))</f>
        <v>0.53600000000000003</v>
      </c>
      <c r="Q36" s="362" t="str">
        <f ca="1">IF(M36="","",VLOOKUP(M36,'G-6 Hedgerow Data'!$B$2:$AG$15,2,FALSE))</f>
        <v>Medium</v>
      </c>
      <c r="R36" s="363">
        <f ca="1">IF(M36="","",VLOOKUP(M36,'G-6 Hedgerow Data'!$B$2:$AG$15,3,FALSE))</f>
        <v>4</v>
      </c>
      <c r="S36" s="55" t="s">
        <v>68</v>
      </c>
      <c r="T36" s="401">
        <f>IFERROR(VLOOKUP(S36,'G-1 All Habitats'!$Z$2:$AA$9,2,FALSE),"")</f>
        <v>3</v>
      </c>
      <c r="U36" s="114" t="s">
        <v>1037</v>
      </c>
      <c r="V36" s="382" t="str">
        <f>IF(U36="","",IF(VLOOKUP(U36,'G-3 Multipliers'!$L$3:$N$6,2,FALSE)=0,"Spatial Data Missing ⚠",VLOOKUP(U36,'G-3 Multipliers'!$L$3:$N$6,2,FALSE)))</f>
        <v>Low Strategic Significance</v>
      </c>
      <c r="W36" s="386">
        <f>IF(U36="","",IF(VLOOKUP(U36,'G-3 Multipliers'!$L$3:$N$6,3,FALSE)=0,"Spatial Data Missing ⚠",VLOOKUP(U36,'G-3 Multipliers'!$L$3:$N$6,3,FALSE)))</f>
        <v>1</v>
      </c>
      <c r="X36" s="362">
        <f ca="1">IFERROR(IF(OR(LEFT(O36,5)="Error",LEFT(N36,5)="Error",T36="Error"),"Check Data ⚠",IF(F36&lt;R36,INDEX('G-6 Hedgerow Data'!$S$3:$AE$14,MATCH(C36,'G-6 Hedgerow Data'!$B$3:$B$14,0),MATCH(M36,'G-6 Hedgerow Data'!$S$2:$AE$2,0)),INDEX('G-6 Hedgerow Data'!$K$3:$Q$14,MATCH(M36,'G-6 Hedgerow Data'!$B$3:$B$14,0),MATCH(O36,'G-6 Hedgerow Data'!$K$2:$Q$2,0)))),"")</f>
        <v>2</v>
      </c>
      <c r="Y36" s="159"/>
      <c r="Z36" s="159"/>
      <c r="AA36" s="370" t="str">
        <f t="shared" ca="1" si="3"/>
        <v>Standard time to target condition applied</v>
      </c>
      <c r="AB36" s="383">
        <f t="shared" ca="1" si="4"/>
        <v>2</v>
      </c>
      <c r="AC36" s="384">
        <f t="shared" ca="1" si="0"/>
        <v>0.93122499999999997</v>
      </c>
      <c r="AD36" s="398" t="str">
        <f ca="1">IF(M36="","",VLOOKUP(M36,'G-6 Hedgerow Data'!$B$3:$AG$15,31,FALSE))</f>
        <v>Low</v>
      </c>
      <c r="AE36" s="370" t="str">
        <f t="shared" ca="1" si="5"/>
        <v>Standard difficulty applied</v>
      </c>
      <c r="AF36" s="370" t="str">
        <f t="shared" ca="1" si="6"/>
        <v>Low</v>
      </c>
      <c r="AG36" s="386">
        <f ca="1">IFERROR(IF(O36="","",VLOOKUP(AD36,'G-3 Multipliers'!$P$3:$Q$6,2,FALSE)),"")</f>
        <v>1</v>
      </c>
      <c r="AH36" s="376">
        <f t="shared" ca="1" si="7"/>
        <v>6.2845464</v>
      </c>
      <c r="AI36" s="188"/>
      <c r="AJ36" s="118"/>
      <c r="AK36" s="120"/>
      <c r="AT36" s="30" t="str">
        <f ca="1">IFERROR(INDEX('G-6 Hedgerow Data'!$BJ$3:$BJ$15,MATCH(M36,'G-6 Hedgerow Data'!$B$3:$B$15,0)),"")</f>
        <v>Hedgecond1</v>
      </c>
    </row>
    <row r="37" spans="2:46" ht="28.5" x14ac:dyDescent="0.2">
      <c r="B37" s="392">
        <f>'B-1 On-Site Hedge Baseline'!AK35</f>
        <v>67</v>
      </c>
      <c r="C37" s="382" t="str">
        <f ca="1">IF(B37="","",IF(ISNA(VLOOKUP($B37,'B-1 On-Site Hedge Baseline'!$B$1:$L$257,3,FALSE)),"",(VLOOKUP($B37,'B-1 On-Site Hedge Baseline'!$B$1:$L$257,3,FALSE))))</f>
        <v>Species-rich native hedgerow with trees</v>
      </c>
      <c r="D37" s="382">
        <f ca="1">IF(B37="","",IF(ISNA(VLOOKUP($B37,'B-1 On-Site Hedge Baseline'!$B$1:$L$257,4,FALSE)),"",(VLOOKUP($B37,'B-1 On-Site Hedge Baseline'!$B$1:$L$257,4,FALSE))))</f>
        <v>0.58989999999999998</v>
      </c>
      <c r="E37" s="382" t="str">
        <f ca="1">IF(B37="","",IF(ISNA(VLOOKUP($B37,'B-1 On-Site Hedge Baseline'!$B$1:$L$257,5,FALSE)),"",(VLOOKUP($B37,'B-1 On-Site Hedge Baseline'!$B$1:$L$257,5,FALSE))))</f>
        <v>High</v>
      </c>
      <c r="F37" s="382">
        <f ca="1">IF(B37="","",IF(ISNA(VLOOKUP($B37,'B-1 On-Site Hedge Baseline'!$B$1:$L$257,6,FALSE)),"",(VLOOKUP($B37,'B-1 On-Site Hedge Baseline'!$B$1:$L$257,6,FALSE))))</f>
        <v>6</v>
      </c>
      <c r="G37" s="382" t="str">
        <f ca="1">IF(B37="","",IF(ISNA(VLOOKUP($B37,'B-1 On-Site Hedge Baseline'!$B$1:$L$257,7,FALSE)),"",(VLOOKUP($B37,'B-1 On-Site Hedge Baseline'!$B$1:$L$257,7,FALSE))))</f>
        <v>Good</v>
      </c>
      <c r="H37" s="382">
        <f ca="1">IF(B37="","",IF(ISNA(VLOOKUP($B37,'B-1 On-Site Hedge Baseline'!$B$1:$L$257,8,FALSE)),"",(VLOOKUP($B37,'B-1 On-Site Hedge Baseline'!$B$1:$L$257,8,FALSE))))</f>
        <v>3</v>
      </c>
      <c r="I37" s="382" t="str">
        <f ca="1">IF(B37="","",IF(ISNA(VLOOKUP($B37,'B-1 On-Site Hedge Baseline'!$B$1:$L$257,10,FALSE)),"",(VLOOKUP($B37,'B-1 On-Site Hedge Baseline'!$B$1:$L$257,10,FALSE))))</f>
        <v>Low Strategic Significance</v>
      </c>
      <c r="J37" s="382">
        <f ca="1">IF(B37="","",IF(ISNA(VLOOKUP($B37,'B-1 On-Site Hedge Baseline'!$B$1:$L$257,11,FALSE)),"",(VLOOKUP($B37,'B-1 On-Site Hedge Baseline'!$B$1:$L$257,11,FALSE))))</f>
        <v>1</v>
      </c>
      <c r="K37" s="382">
        <f ca="1">IF(B37="","",IF(ISNA(VLOOKUP($B37,'B-1 On-Site Hedge Baseline'!$B$1:$U$257,13,FALSE)),"",(VLOOKUP($B37,'B-1 On-Site Hedge Baseline'!$B$1:$U$257,13,FALSE))))</f>
        <v>10.618199999999998</v>
      </c>
      <c r="L37" s="386" t="str">
        <f ca="1">IF(B37="","",IF(ISNA(VLOOKUP($B37,'B-1 On-Site Hedge Baseline'!$B$1:$U$257,12,FALSE)),"",(VLOOKUP($B37,'B-1 On-Site Hedge Baseline'!$B$1:$U$257,12,FALSE))))</f>
        <v>Like for like or better</v>
      </c>
      <c r="M37" s="315" t="str">
        <f t="shared" ca="1" si="1"/>
        <v>Species-rich native hedgerow with trees</v>
      </c>
      <c r="N37" s="362" t="str">
        <f ca="1">IFERROR(IF(B37="","",INDEX('G-6 Hedgerow Data'!$AN$3:$AZ$15,MATCH(C37,'G-6 Hedgerow Data'!$AM$3:$AM$15,0),MATCH(M37,'G-6 Hedgerow Data'!$AN$2:$AZ$2,0))),"")</f>
        <v>High - High</v>
      </c>
      <c r="O37" s="363" t="str">
        <f t="shared" ca="1" si="2"/>
        <v>Error - No enhancement ▲</v>
      </c>
      <c r="P37" s="417">
        <f>IF(B37="","",VLOOKUP(B37,'B-1 On-Site Hedge Baseline'!$B$10:T282,16,FALSE))</f>
        <v>0.24049999999999999</v>
      </c>
      <c r="Q37" s="362" t="str">
        <f ca="1">IF(M37="","",VLOOKUP(M37,'G-6 Hedgerow Data'!$B$2:$AG$15,2,FALSE))</f>
        <v>High</v>
      </c>
      <c r="R37" s="363">
        <f ca="1">IF(M37="","",VLOOKUP(M37,'G-6 Hedgerow Data'!$B$2:$AG$15,3,FALSE))</f>
        <v>6</v>
      </c>
      <c r="S37" s="114" t="s">
        <v>68</v>
      </c>
      <c r="T37" s="401">
        <f>IFERROR(VLOOKUP(S37,'G-1 All Habitats'!$Z$2:$AA$9,2,FALSE),"")</f>
        <v>3</v>
      </c>
      <c r="U37" s="114" t="s">
        <v>1037</v>
      </c>
      <c r="V37" s="382" t="str">
        <f>IF(U37="","",IF(VLOOKUP(U37,'G-3 Multipliers'!$L$3:$N$6,2,FALSE)=0,"Spatial Data Missing ⚠",VLOOKUP(U37,'G-3 Multipliers'!$L$3:$N$6,2,FALSE)))</f>
        <v>Low Strategic Significance</v>
      </c>
      <c r="W37" s="386">
        <f>IF(U37="","",IF(VLOOKUP(U37,'G-3 Multipliers'!$L$3:$N$6,3,FALSE)=0,"Spatial Data Missing ⚠",VLOOKUP(U37,'G-3 Multipliers'!$L$3:$N$6,3,FALSE)))</f>
        <v>1</v>
      </c>
      <c r="X37" s="362" t="str">
        <f ca="1">IFERROR(IF(OR(LEFT(O37,5)="Error",LEFT(N37,5)="Error",T37="Error"),"Check Data ⚠",IF(F37&lt;R37,INDEX('G-6 Hedgerow Data'!$S$3:$AE$14,MATCH(C37,'G-6 Hedgerow Data'!$B$3:$B$14,0),MATCH(M37,'G-6 Hedgerow Data'!$S$2:$AE$2,0)),INDEX('G-6 Hedgerow Data'!$K$3:$Q$14,MATCH(M37,'G-6 Hedgerow Data'!$B$3:$B$14,0),MATCH(O37,'G-6 Hedgerow Data'!$K$2:$Q$2,0)))),"")</f>
        <v>Check Data ⚠</v>
      </c>
      <c r="Y37" s="159"/>
      <c r="Z37" s="159"/>
      <c r="AA37" s="370" t="str">
        <f t="shared" ca="1" si="3"/>
        <v>Check Data ⚠</v>
      </c>
      <c r="AB37" s="383" t="str">
        <f t="shared" ca="1" si="4"/>
        <v>Check Data ⚠</v>
      </c>
      <c r="AC37" s="384" t="str">
        <f t="shared" ca="1" si="0"/>
        <v>Check Data ⚠</v>
      </c>
      <c r="AD37" s="398" t="str">
        <f ca="1">IF(M37="","",VLOOKUP(M37,'G-6 Hedgerow Data'!$B$3:$AG$15,31,FALSE))</f>
        <v>Low</v>
      </c>
      <c r="AE37" s="370" t="str">
        <f t="shared" ca="1" si="5"/>
        <v>Check Data ⚠</v>
      </c>
      <c r="AF37" s="370" t="str">
        <f t="shared" ca="1" si="6"/>
        <v>Low</v>
      </c>
      <c r="AG37" s="386">
        <f ca="1">IFERROR(IF(O37="","",VLOOKUP(AD37,'G-3 Multipliers'!$P$3:$Q$6,2,FALSE)),"")</f>
        <v>1</v>
      </c>
      <c r="AH37" s="376" t="str">
        <f t="shared" ca="1" si="7"/>
        <v/>
      </c>
      <c r="AI37" s="188"/>
      <c r="AJ37" s="118"/>
      <c r="AK37" s="120"/>
      <c r="AT37" s="30" t="str">
        <f ca="1">IFERROR(INDEX('G-6 Hedgerow Data'!$BJ$3:$BJ$15,MATCH(M37,'G-6 Hedgerow Data'!$B$3:$B$15,0)),"")</f>
        <v>Hedgecond1</v>
      </c>
    </row>
    <row r="38" spans="2:46" ht="28.5" x14ac:dyDescent="0.2">
      <c r="B38" s="392">
        <f>'B-1 On-Site Hedge Baseline'!AK36</f>
        <v>71</v>
      </c>
      <c r="C38" s="382" t="str">
        <f ca="1">IF(B38="","",IF(ISNA(VLOOKUP($B38,'B-1 On-Site Hedge Baseline'!$B$1:$L$257,3,FALSE)),"",(VLOOKUP($B38,'B-1 On-Site Hedge Baseline'!$B$1:$L$257,3,FALSE))))</f>
        <v>Species-rich native hedgerow</v>
      </c>
      <c r="D38" s="382">
        <f ca="1">IF(B38="","",IF(ISNA(VLOOKUP($B38,'B-1 On-Site Hedge Baseline'!$B$1:$L$257,4,FALSE)),"",(VLOOKUP($B38,'B-1 On-Site Hedge Baseline'!$B$1:$L$257,4,FALSE))))</f>
        <v>0.98660000000000003</v>
      </c>
      <c r="E38" s="382" t="str">
        <f ca="1">IF(B38="","",IF(ISNA(VLOOKUP($B38,'B-1 On-Site Hedge Baseline'!$B$1:$L$257,5,FALSE)),"",(VLOOKUP($B38,'B-1 On-Site Hedge Baseline'!$B$1:$L$257,5,FALSE))))</f>
        <v>Medium</v>
      </c>
      <c r="F38" s="382">
        <f ca="1">IF(B38="","",IF(ISNA(VLOOKUP($B38,'B-1 On-Site Hedge Baseline'!$B$1:$L$257,6,FALSE)),"",(VLOOKUP($B38,'B-1 On-Site Hedge Baseline'!$B$1:$L$257,6,FALSE))))</f>
        <v>4</v>
      </c>
      <c r="G38" s="382" t="str">
        <f ca="1">IF(B38="","",IF(ISNA(VLOOKUP($B38,'B-1 On-Site Hedge Baseline'!$B$1:$L$257,7,FALSE)),"",(VLOOKUP($B38,'B-1 On-Site Hedge Baseline'!$B$1:$L$257,7,FALSE))))</f>
        <v>Good</v>
      </c>
      <c r="H38" s="382">
        <f ca="1">IF(B38="","",IF(ISNA(VLOOKUP($B38,'B-1 On-Site Hedge Baseline'!$B$1:$L$257,8,FALSE)),"",(VLOOKUP($B38,'B-1 On-Site Hedge Baseline'!$B$1:$L$257,8,FALSE))))</f>
        <v>3</v>
      </c>
      <c r="I38" s="382" t="str">
        <f ca="1">IF(B38="","",IF(ISNA(VLOOKUP($B38,'B-1 On-Site Hedge Baseline'!$B$1:$L$257,10,FALSE)),"",(VLOOKUP($B38,'B-1 On-Site Hedge Baseline'!$B$1:$L$257,10,FALSE))))</f>
        <v>Low Strategic Significance</v>
      </c>
      <c r="J38" s="382">
        <f ca="1">IF(B38="","",IF(ISNA(VLOOKUP($B38,'B-1 On-Site Hedge Baseline'!$B$1:$L$257,11,FALSE)),"",(VLOOKUP($B38,'B-1 On-Site Hedge Baseline'!$B$1:$L$257,11,FALSE))))</f>
        <v>1</v>
      </c>
      <c r="K38" s="382">
        <f ca="1">IF(B38="","",IF(ISNA(VLOOKUP($B38,'B-1 On-Site Hedge Baseline'!$B$1:$U$257,13,FALSE)),"",(VLOOKUP($B38,'B-1 On-Site Hedge Baseline'!$B$1:$U$257,13,FALSE))))</f>
        <v>11.8392</v>
      </c>
      <c r="L38" s="386" t="str">
        <f ca="1">IF(B38="","",IF(ISNA(VLOOKUP($B38,'B-1 On-Site Hedge Baseline'!$B$1:$U$257,12,FALSE)),"",(VLOOKUP($B38,'B-1 On-Site Hedge Baseline'!$B$1:$U$257,12,FALSE))))</f>
        <v>Same distinctiveness band or better</v>
      </c>
      <c r="M38" s="315" t="s">
        <v>168</v>
      </c>
      <c r="N38" s="362" t="str">
        <f ca="1">IFERROR(IF(B38="","",INDEX('G-6 Hedgerow Data'!$AN$3:$AZ$15,MATCH(C38,'G-6 Hedgerow Data'!$AM$3:$AM$15,0),MATCH(M38,'G-6 Hedgerow Data'!$AN$2:$AZ$2,0))),"")</f>
        <v>Medium - High</v>
      </c>
      <c r="O38" s="363" t="str">
        <f t="shared" ca="1" si="2"/>
        <v>Lower Distinctiveness Habitat - Good</v>
      </c>
      <c r="P38" s="417">
        <f>IF(B38="","",VLOOKUP(B38,'B-1 On-Site Hedge Baseline'!$B$10:T283,16,FALSE))</f>
        <v>0.82469999999999999</v>
      </c>
      <c r="Q38" s="362" t="str">
        <f>IF(M38="","",VLOOKUP(M38,'G-6 Hedgerow Data'!$B$2:$AG$15,2,FALSE))</f>
        <v>High</v>
      </c>
      <c r="R38" s="363">
        <f>IF(M38="","",VLOOKUP(M38,'G-6 Hedgerow Data'!$B$2:$AG$15,3,FALSE))</f>
        <v>6</v>
      </c>
      <c r="S38" s="125" t="s">
        <v>68</v>
      </c>
      <c r="T38" s="401">
        <f>IFERROR(VLOOKUP(S38,'G-1 All Habitats'!$Z$2:$AA$9,2,FALSE),"")</f>
        <v>3</v>
      </c>
      <c r="U38" s="122" t="s">
        <v>1037</v>
      </c>
      <c r="V38" s="382" t="str">
        <f>IF(U38="","",IF(VLOOKUP(U38,'G-3 Multipliers'!$L$3:$N$6,2,FALSE)=0,"Spatial Data Missing ⚠",VLOOKUP(U38,'G-3 Multipliers'!$L$3:$N$6,2,FALSE)))</f>
        <v>Low Strategic Significance</v>
      </c>
      <c r="W38" s="386">
        <f>IF(U38="","",IF(VLOOKUP(U38,'G-3 Multipliers'!$L$3:$N$6,3,FALSE)=0,"Spatial Data Missing ⚠",VLOOKUP(U38,'G-3 Multipliers'!$L$3:$N$6,3,FALSE)))</f>
        <v>1</v>
      </c>
      <c r="X38" s="362">
        <f ca="1">IFERROR(IF(OR(LEFT(O38,5)="Error",LEFT(N38,5)="Error",T38="Error"),"Check Data ⚠",IF(F38&lt;R38,INDEX('G-6 Hedgerow Data'!$S$3:$AE$14,MATCH(C38,'G-6 Hedgerow Data'!$B$3:$B$14,0),MATCH(M38,'G-6 Hedgerow Data'!$S$2:$AE$2,0)),INDEX('G-6 Hedgerow Data'!$K$3:$Q$14,MATCH(M38,'G-6 Hedgerow Data'!$B$3:$B$14,0),MATCH(O38,'G-6 Hedgerow Data'!$K$2:$Q$2,0)))),"")</f>
        <v>10</v>
      </c>
      <c r="Y38" s="159"/>
      <c r="Z38" s="159"/>
      <c r="AA38" s="370" t="str">
        <f t="shared" ca="1" si="3"/>
        <v>Standard time to target condition applied</v>
      </c>
      <c r="AB38" s="383">
        <f t="shared" ca="1" si="4"/>
        <v>10</v>
      </c>
      <c r="AC38" s="384">
        <f t="shared" ca="1" si="0"/>
        <v>0.70028227419999989</v>
      </c>
      <c r="AD38" s="398" t="str">
        <f>IF(M38="","",VLOOKUP(M38,'G-6 Hedgerow Data'!$B$3:$AG$15,31,FALSE))</f>
        <v>Low</v>
      </c>
      <c r="AE38" s="370" t="str">
        <f t="shared" ca="1" si="5"/>
        <v>Standard difficulty applied</v>
      </c>
      <c r="AF38" s="370" t="str">
        <f t="shared" ca="1" si="6"/>
        <v>Low</v>
      </c>
      <c r="AG38" s="386">
        <f ca="1">IFERROR(IF(O38="","",VLOOKUP(AD38,'G-3 Multipliers'!$P$3:$Q$6,2,FALSE)),"")</f>
        <v>1</v>
      </c>
      <c r="AH38" s="376">
        <f t="shared" ca="1" si="7"/>
        <v>13.361536749196439</v>
      </c>
      <c r="AI38" s="188"/>
      <c r="AJ38" s="118"/>
      <c r="AK38" s="120"/>
      <c r="AT38" s="30" t="str">
        <f>IFERROR(INDEX('G-6 Hedgerow Data'!$BJ$3:$BJ$15,MATCH(M38,'G-6 Hedgerow Data'!$B$3:$B$15,0)),"")</f>
        <v>Hedgecond1</v>
      </c>
    </row>
    <row r="39" spans="2:46" ht="28.5" x14ac:dyDescent="0.2">
      <c r="B39" s="392">
        <f>'B-1 On-Site Hedge Baseline'!AK37</f>
        <v>75</v>
      </c>
      <c r="C39" s="382" t="str">
        <f ca="1">IF(B39="","",IF(ISNA(VLOOKUP($B39,'B-1 On-Site Hedge Baseline'!$B$1:$L$257,3,FALSE)),"",(VLOOKUP($B39,'B-1 On-Site Hedge Baseline'!$B$1:$L$257,3,FALSE))))</f>
        <v>Native hedgerow</v>
      </c>
      <c r="D39" s="382">
        <f ca="1">IF(B39="","",IF(ISNA(VLOOKUP($B39,'B-1 On-Site Hedge Baseline'!$B$1:$L$257,4,FALSE)),"",(VLOOKUP($B39,'B-1 On-Site Hedge Baseline'!$B$1:$L$257,4,FALSE))))</f>
        <v>0.19439999999999999</v>
      </c>
      <c r="E39" s="382" t="str">
        <f ca="1">IF(B39="","",IF(ISNA(VLOOKUP($B39,'B-1 On-Site Hedge Baseline'!$B$1:$L$257,5,FALSE)),"",(VLOOKUP($B39,'B-1 On-Site Hedge Baseline'!$B$1:$L$257,5,FALSE))))</f>
        <v>Low</v>
      </c>
      <c r="F39" s="382">
        <f ca="1">IF(B39="","",IF(ISNA(VLOOKUP($B39,'B-1 On-Site Hedge Baseline'!$B$1:$L$257,6,FALSE)),"",(VLOOKUP($B39,'B-1 On-Site Hedge Baseline'!$B$1:$L$257,6,FALSE))))</f>
        <v>2</v>
      </c>
      <c r="G39" s="382" t="str">
        <f ca="1">IF(B39="","",IF(ISNA(VLOOKUP($B39,'B-1 On-Site Hedge Baseline'!$B$1:$L$257,7,FALSE)),"",(VLOOKUP($B39,'B-1 On-Site Hedge Baseline'!$B$1:$L$257,7,FALSE))))</f>
        <v>Poor</v>
      </c>
      <c r="H39" s="382">
        <f ca="1">IF(B39="","",IF(ISNA(VLOOKUP($B39,'B-1 On-Site Hedge Baseline'!$B$1:$L$257,8,FALSE)),"",(VLOOKUP($B39,'B-1 On-Site Hedge Baseline'!$B$1:$L$257,8,FALSE))))</f>
        <v>1</v>
      </c>
      <c r="I39" s="382" t="str">
        <f ca="1">IF(B39="","",IF(ISNA(VLOOKUP($B39,'B-1 On-Site Hedge Baseline'!$B$1:$L$257,10,FALSE)),"",(VLOOKUP($B39,'B-1 On-Site Hedge Baseline'!$B$1:$L$257,10,FALSE))))</f>
        <v>Low Strategic Significance</v>
      </c>
      <c r="J39" s="382">
        <f ca="1">IF(B39="","",IF(ISNA(VLOOKUP($B39,'B-1 On-Site Hedge Baseline'!$B$1:$L$257,11,FALSE)),"",(VLOOKUP($B39,'B-1 On-Site Hedge Baseline'!$B$1:$L$257,11,FALSE))))</f>
        <v>1</v>
      </c>
      <c r="K39" s="382">
        <f ca="1">IF(B39="","",IF(ISNA(VLOOKUP($B39,'B-1 On-Site Hedge Baseline'!$B$1:$U$257,13,FALSE)),"",(VLOOKUP($B39,'B-1 On-Site Hedge Baseline'!$B$1:$U$257,13,FALSE))))</f>
        <v>0.38879999999999998</v>
      </c>
      <c r="L39" s="386" t="str">
        <f ca="1">IF(B39="","",IF(ISNA(VLOOKUP($B39,'B-1 On-Site Hedge Baseline'!$B$1:$U$257,12,FALSE)),"",(VLOOKUP($B39,'B-1 On-Site Hedge Baseline'!$B$1:$U$257,12,FALSE))))</f>
        <v>Same distinctiveness band or better</v>
      </c>
      <c r="M39" s="315" t="s">
        <v>171</v>
      </c>
      <c r="N39" s="362" t="str">
        <f ca="1">IFERROR(IF(B39="","",INDEX('G-6 Hedgerow Data'!$AN$3:$AZ$15,MATCH(C39,'G-6 Hedgerow Data'!$AM$3:$AM$15,0),MATCH(M39,'G-6 Hedgerow Data'!$AN$2:$AZ$2,0))),"")</f>
        <v>Low - Medium</v>
      </c>
      <c r="O39" s="363" t="str">
        <f t="shared" ca="1" si="2"/>
        <v>Lower Distinctiveness Habitat - Good</v>
      </c>
      <c r="P39" s="417">
        <f>IF(B39="","",VLOOKUP(B39,'B-1 On-Site Hedge Baseline'!$B$10:T284,16,FALSE))</f>
        <v>0.19439999999999999</v>
      </c>
      <c r="Q39" s="362" t="str">
        <f>IF(M39="","",VLOOKUP(M39,'G-6 Hedgerow Data'!$B$2:$AG$15,2,FALSE))</f>
        <v>Medium</v>
      </c>
      <c r="R39" s="363">
        <f>IF(M39="","",VLOOKUP(M39,'G-6 Hedgerow Data'!$B$2:$AG$15,3,FALSE))</f>
        <v>4</v>
      </c>
      <c r="S39" s="125" t="s">
        <v>68</v>
      </c>
      <c r="T39" s="401">
        <f>IFERROR(VLOOKUP(S39,'G-1 All Habitats'!$Z$2:$AA$9,2,FALSE),"")</f>
        <v>3</v>
      </c>
      <c r="U39" s="122" t="s">
        <v>1037</v>
      </c>
      <c r="V39" s="382" t="str">
        <f>IF(U39="","",IF(VLOOKUP(U39,'G-3 Multipliers'!$L$3:$N$6,2,FALSE)=0,"Spatial Data Missing ⚠",VLOOKUP(U39,'G-3 Multipliers'!$L$3:$N$6,2,FALSE)))</f>
        <v>Low Strategic Significance</v>
      </c>
      <c r="W39" s="386">
        <f>IF(U39="","",IF(VLOOKUP(U39,'G-3 Multipliers'!$L$3:$N$6,3,FALSE)=0,"Spatial Data Missing ⚠",VLOOKUP(U39,'G-3 Multipliers'!$L$3:$N$6,3,FALSE)))</f>
        <v>1</v>
      </c>
      <c r="X39" s="362">
        <f ca="1">IFERROR(IF(OR(LEFT(O39,5)="Error",LEFT(N39,5)="Error",T39="Error"),"Check Data ⚠",IF(F39&lt;R39,INDEX('G-6 Hedgerow Data'!$S$3:$AE$14,MATCH(C39,'G-6 Hedgerow Data'!$B$3:$B$14,0),MATCH(M39,'G-6 Hedgerow Data'!$S$2:$AE$2,0)),INDEX('G-6 Hedgerow Data'!$K$3:$Q$14,MATCH(M39,'G-6 Hedgerow Data'!$B$3:$B$14,0),MATCH(O39,'G-6 Hedgerow Data'!$K$2:$Q$2,0)))),"")</f>
        <v>5</v>
      </c>
      <c r="Y39" s="159"/>
      <c r="Z39" s="159"/>
      <c r="AA39" s="370" t="str">
        <f t="shared" ca="1" si="3"/>
        <v>Standard time to target condition applied</v>
      </c>
      <c r="AB39" s="383">
        <f t="shared" ca="1" si="4"/>
        <v>5</v>
      </c>
      <c r="AC39" s="384">
        <f t="shared" ca="1" si="0"/>
        <v>0.83682870060000003</v>
      </c>
      <c r="AD39" s="398" t="str">
        <f>IF(M39="","",VLOOKUP(M39,'G-6 Hedgerow Data'!$B$3:$AG$15,31,FALSE))</f>
        <v>Low</v>
      </c>
      <c r="AE39" s="370" t="str">
        <f t="shared" ca="1" si="5"/>
        <v>Standard difficulty applied</v>
      </c>
      <c r="AF39" s="370" t="str">
        <f t="shared" ca="1" si="6"/>
        <v>Low</v>
      </c>
      <c r="AG39" s="386">
        <f ca="1">IFERROR(IF(O39="","",VLOOKUP(AD39,'G-3 Multipliers'!$P$3:$Q$6,2,FALSE)),"")</f>
        <v>1</v>
      </c>
      <c r="AH39" s="376">
        <f t="shared" ca="1" si="7"/>
        <v>2.0155949939664</v>
      </c>
      <c r="AI39" s="188"/>
      <c r="AJ39" s="118"/>
      <c r="AK39" s="120"/>
      <c r="AT39" s="30" t="str">
        <f>IFERROR(INDEX('G-6 Hedgerow Data'!$BJ$3:$BJ$15,MATCH(M39,'G-6 Hedgerow Data'!$B$3:$B$15,0)),"")</f>
        <v>Hedgecond1</v>
      </c>
    </row>
    <row r="40" spans="2:46" ht="28.5" x14ac:dyDescent="0.2">
      <c r="B40" s="392">
        <f>'B-1 On-Site Hedge Baseline'!AK38</f>
        <v>78</v>
      </c>
      <c r="C40" s="382" t="str">
        <f ca="1">IF(B40="","",IF(ISNA(VLOOKUP($B40,'B-1 On-Site Hedge Baseline'!$B$1:$L$257,3,FALSE)),"",(VLOOKUP($B40,'B-1 On-Site Hedge Baseline'!$B$1:$L$257,3,FALSE))))</f>
        <v>Native hedgerow</v>
      </c>
      <c r="D40" s="382">
        <f ca="1">IF(B40="","",IF(ISNA(VLOOKUP($B40,'B-1 On-Site Hedge Baseline'!$B$1:$L$257,4,FALSE)),"",(VLOOKUP($B40,'B-1 On-Site Hedge Baseline'!$B$1:$L$257,4,FALSE))))</f>
        <v>6.1199999999999997E-2</v>
      </c>
      <c r="E40" s="382" t="str">
        <f ca="1">IF(B40="","",IF(ISNA(VLOOKUP($B40,'B-1 On-Site Hedge Baseline'!$B$1:$L$257,5,FALSE)),"",(VLOOKUP($B40,'B-1 On-Site Hedge Baseline'!$B$1:$L$257,5,FALSE))))</f>
        <v>Low</v>
      </c>
      <c r="F40" s="382">
        <f ca="1">IF(B40="","",IF(ISNA(VLOOKUP($B40,'B-1 On-Site Hedge Baseline'!$B$1:$L$257,6,FALSE)),"",(VLOOKUP($B40,'B-1 On-Site Hedge Baseline'!$B$1:$L$257,6,FALSE))))</f>
        <v>2</v>
      </c>
      <c r="G40" s="382" t="str">
        <f ca="1">IF(B40="","",IF(ISNA(VLOOKUP($B40,'B-1 On-Site Hedge Baseline'!$B$1:$L$257,7,FALSE)),"",(VLOOKUP($B40,'B-1 On-Site Hedge Baseline'!$B$1:$L$257,7,FALSE))))</f>
        <v>Moderate</v>
      </c>
      <c r="H40" s="382">
        <f ca="1">IF(B40="","",IF(ISNA(VLOOKUP($B40,'B-1 On-Site Hedge Baseline'!$B$1:$L$257,8,FALSE)),"",(VLOOKUP($B40,'B-1 On-Site Hedge Baseline'!$B$1:$L$257,8,FALSE))))</f>
        <v>2</v>
      </c>
      <c r="I40" s="382" t="str">
        <f ca="1">IF(B40="","",IF(ISNA(VLOOKUP($B40,'B-1 On-Site Hedge Baseline'!$B$1:$L$257,10,FALSE)),"",(VLOOKUP($B40,'B-1 On-Site Hedge Baseline'!$B$1:$L$257,10,FALSE))))</f>
        <v>Low Strategic Significance</v>
      </c>
      <c r="J40" s="382">
        <f ca="1">IF(B40="","",IF(ISNA(VLOOKUP($B40,'B-1 On-Site Hedge Baseline'!$B$1:$L$257,11,FALSE)),"",(VLOOKUP($B40,'B-1 On-Site Hedge Baseline'!$B$1:$L$257,11,FALSE))))</f>
        <v>1</v>
      </c>
      <c r="K40" s="382">
        <f ca="1">IF(B40="","",IF(ISNA(VLOOKUP($B40,'B-1 On-Site Hedge Baseline'!$B$1:$U$257,13,FALSE)),"",(VLOOKUP($B40,'B-1 On-Site Hedge Baseline'!$B$1:$U$257,13,FALSE))))</f>
        <v>0.24479999999999999</v>
      </c>
      <c r="L40" s="386" t="str">
        <f ca="1">IF(B40="","",IF(ISNA(VLOOKUP($B40,'B-1 On-Site Hedge Baseline'!$B$1:$U$257,12,FALSE)),"",(VLOOKUP($B40,'B-1 On-Site Hedge Baseline'!$B$1:$U$257,12,FALSE))))</f>
        <v>Same distinctiveness band or better</v>
      </c>
      <c r="M40" s="315" t="s">
        <v>171</v>
      </c>
      <c r="N40" s="362" t="str">
        <f ca="1">IFERROR(IF(B40="","",INDEX('G-6 Hedgerow Data'!$AN$3:$AZ$15,MATCH(C40,'G-6 Hedgerow Data'!$AM$3:$AM$15,0),MATCH(M40,'G-6 Hedgerow Data'!$AN$2:$AZ$2,0))),"")</f>
        <v>Low - Medium</v>
      </c>
      <c r="O40" s="363" t="str">
        <f t="shared" ca="1" si="2"/>
        <v>Lower Distinctiveness Habitat - Good</v>
      </c>
      <c r="P40" s="417">
        <f>IF(B40="","",VLOOKUP(B40,'B-1 On-Site Hedge Baseline'!$B$10:T285,16,FALSE))</f>
        <v>6.1199999999999997E-2</v>
      </c>
      <c r="Q40" s="362" t="str">
        <f>IF(M40="","",VLOOKUP(M40,'G-6 Hedgerow Data'!$B$2:$AG$15,2,FALSE))</f>
        <v>Medium</v>
      </c>
      <c r="R40" s="363">
        <f>IF(M40="","",VLOOKUP(M40,'G-6 Hedgerow Data'!$B$2:$AG$15,3,FALSE))</f>
        <v>4</v>
      </c>
      <c r="S40" s="125" t="s">
        <v>68</v>
      </c>
      <c r="T40" s="401">
        <f>IFERROR(VLOOKUP(S40,'G-1 All Habitats'!$Z$2:$AA$9,2,FALSE),"")</f>
        <v>3</v>
      </c>
      <c r="U40" s="122" t="s">
        <v>1037</v>
      </c>
      <c r="V40" s="382" t="str">
        <f>IF(U40="","",IF(VLOOKUP(U40,'G-3 Multipliers'!$L$3:$N$6,2,FALSE)=0,"Spatial Data Missing ⚠",VLOOKUP(U40,'G-3 Multipliers'!$L$3:$N$6,2,FALSE)))</f>
        <v>Low Strategic Significance</v>
      </c>
      <c r="W40" s="386">
        <f>IF(U40="","",IF(VLOOKUP(U40,'G-3 Multipliers'!$L$3:$N$6,3,FALSE)=0,"Spatial Data Missing ⚠",VLOOKUP(U40,'G-3 Multipliers'!$L$3:$N$6,3,FALSE)))</f>
        <v>1</v>
      </c>
      <c r="X40" s="362">
        <f ca="1">IFERROR(IF(OR(LEFT(O40,5)="Error",LEFT(N40,5)="Error",T40="Error"),"Check Data ⚠",IF(F40&lt;R40,INDEX('G-6 Hedgerow Data'!$S$3:$AE$14,MATCH(C40,'G-6 Hedgerow Data'!$B$3:$B$14,0),MATCH(M40,'G-6 Hedgerow Data'!$S$2:$AE$2,0)),INDEX('G-6 Hedgerow Data'!$K$3:$Q$14,MATCH(M40,'G-6 Hedgerow Data'!$B$3:$B$14,0),MATCH(O40,'G-6 Hedgerow Data'!$K$2:$Q$2,0)))),"")</f>
        <v>5</v>
      </c>
      <c r="Y40" s="159"/>
      <c r="Z40" s="159"/>
      <c r="AA40" s="370" t="str">
        <f t="shared" ca="1" si="3"/>
        <v>Standard time to target condition applied</v>
      </c>
      <c r="AB40" s="383">
        <f t="shared" ca="1" si="4"/>
        <v>5</v>
      </c>
      <c r="AC40" s="384">
        <f t="shared" ca="1" si="0"/>
        <v>0.83682870060000003</v>
      </c>
      <c r="AD40" s="398" t="str">
        <f>IF(M40="","",VLOOKUP(M40,'G-6 Hedgerow Data'!$B$3:$AG$15,31,FALSE))</f>
        <v>Low</v>
      </c>
      <c r="AE40" s="370" t="str">
        <f t="shared" ca="1" si="5"/>
        <v>Standard difficulty applied</v>
      </c>
      <c r="AF40" s="370" t="str">
        <f t="shared" ca="1" si="6"/>
        <v>Low</v>
      </c>
      <c r="AG40" s="386">
        <f ca="1">IFERROR(IF(O40="","",VLOOKUP(AD40,'G-3 Multipliers'!$P$3:$Q$6,2,FALSE)),"")</f>
        <v>1</v>
      </c>
      <c r="AH40" s="376">
        <f t="shared" ca="1" si="7"/>
        <v>0.65451133181375998</v>
      </c>
      <c r="AI40" s="188"/>
      <c r="AJ40" s="118"/>
      <c r="AK40" s="120"/>
      <c r="AT40" s="30" t="str">
        <f>IFERROR(INDEX('G-6 Hedgerow Data'!$BJ$3:$BJ$15,MATCH(M40,'G-6 Hedgerow Data'!$B$3:$B$15,0)),"")</f>
        <v>Hedgecond1</v>
      </c>
    </row>
    <row r="41" spans="2:46" ht="28.5" x14ac:dyDescent="0.2">
      <c r="B41" s="392">
        <f>'B-1 On-Site Hedge Baseline'!AK39</f>
        <v>80</v>
      </c>
      <c r="C41" s="382" t="str">
        <f ca="1">IF(B41="","",IF(ISNA(VLOOKUP($B41,'B-1 On-Site Hedge Baseline'!$B$1:$L$257,3,FALSE)),"",(VLOOKUP($B41,'B-1 On-Site Hedge Baseline'!$B$1:$L$257,3,FALSE))))</f>
        <v>Native hedgerow</v>
      </c>
      <c r="D41" s="382">
        <f ca="1">IF(B41="","",IF(ISNA(VLOOKUP($B41,'B-1 On-Site Hedge Baseline'!$B$1:$L$257,4,FALSE)),"",(VLOOKUP($B41,'B-1 On-Site Hedge Baseline'!$B$1:$L$257,4,FALSE))))</f>
        <v>0.2606</v>
      </c>
      <c r="E41" s="382" t="str">
        <f ca="1">IF(B41="","",IF(ISNA(VLOOKUP($B41,'B-1 On-Site Hedge Baseline'!$B$1:$L$257,5,FALSE)),"",(VLOOKUP($B41,'B-1 On-Site Hedge Baseline'!$B$1:$L$257,5,FALSE))))</f>
        <v>Low</v>
      </c>
      <c r="F41" s="382">
        <f ca="1">IF(B41="","",IF(ISNA(VLOOKUP($B41,'B-1 On-Site Hedge Baseline'!$B$1:$L$257,6,FALSE)),"",(VLOOKUP($B41,'B-1 On-Site Hedge Baseline'!$B$1:$L$257,6,FALSE))))</f>
        <v>2</v>
      </c>
      <c r="G41" s="382" t="str">
        <f ca="1">IF(B41="","",IF(ISNA(VLOOKUP($B41,'B-1 On-Site Hedge Baseline'!$B$1:$L$257,7,FALSE)),"",(VLOOKUP($B41,'B-1 On-Site Hedge Baseline'!$B$1:$L$257,7,FALSE))))</f>
        <v>Moderate</v>
      </c>
      <c r="H41" s="382">
        <f ca="1">IF(B41="","",IF(ISNA(VLOOKUP($B41,'B-1 On-Site Hedge Baseline'!$B$1:$L$257,8,FALSE)),"",(VLOOKUP($B41,'B-1 On-Site Hedge Baseline'!$B$1:$L$257,8,FALSE))))</f>
        <v>2</v>
      </c>
      <c r="I41" s="382" t="str">
        <f ca="1">IF(B41="","",IF(ISNA(VLOOKUP($B41,'B-1 On-Site Hedge Baseline'!$B$1:$L$257,10,FALSE)),"",(VLOOKUP($B41,'B-1 On-Site Hedge Baseline'!$B$1:$L$257,10,FALSE))))</f>
        <v>Low Strategic Significance</v>
      </c>
      <c r="J41" s="382">
        <f ca="1">IF(B41="","",IF(ISNA(VLOOKUP($B41,'B-1 On-Site Hedge Baseline'!$B$1:$L$257,11,FALSE)),"",(VLOOKUP($B41,'B-1 On-Site Hedge Baseline'!$B$1:$L$257,11,FALSE))))</f>
        <v>1</v>
      </c>
      <c r="K41" s="382">
        <f ca="1">IF(B41="","",IF(ISNA(VLOOKUP($B41,'B-1 On-Site Hedge Baseline'!$B$1:$U$257,13,FALSE)),"",(VLOOKUP($B41,'B-1 On-Site Hedge Baseline'!$B$1:$U$257,13,FALSE))))</f>
        <v>1.0424</v>
      </c>
      <c r="L41" s="386" t="str">
        <f ca="1">IF(B41="","",IF(ISNA(VLOOKUP($B41,'B-1 On-Site Hedge Baseline'!$B$1:$U$257,12,FALSE)),"",(VLOOKUP($B41,'B-1 On-Site Hedge Baseline'!$B$1:$U$257,12,FALSE))))</f>
        <v>Same distinctiveness band or better</v>
      </c>
      <c r="M41" s="315" t="s">
        <v>171</v>
      </c>
      <c r="N41" s="362" t="str">
        <f ca="1">IFERROR(IF(B41="","",INDEX('G-6 Hedgerow Data'!$AN$3:$AZ$15,MATCH(C41,'G-6 Hedgerow Data'!$AM$3:$AM$15,0),MATCH(M41,'G-6 Hedgerow Data'!$AN$2:$AZ$2,0))),"")</f>
        <v>Low - Medium</v>
      </c>
      <c r="O41" s="363" t="str">
        <f t="shared" ca="1" si="2"/>
        <v>Lower Distinctiveness Habitat - Good</v>
      </c>
      <c r="P41" s="417">
        <f>IF(B41="","",VLOOKUP(B41,'B-1 On-Site Hedge Baseline'!$B$10:T286,16,FALSE))</f>
        <v>0.2606</v>
      </c>
      <c r="Q41" s="362" t="str">
        <f>IF(M41="","",VLOOKUP(M41,'G-6 Hedgerow Data'!$B$2:$AG$15,2,FALSE))</f>
        <v>Medium</v>
      </c>
      <c r="R41" s="363">
        <f>IF(M41="","",VLOOKUP(M41,'G-6 Hedgerow Data'!$B$2:$AG$15,3,FALSE))</f>
        <v>4</v>
      </c>
      <c r="S41" s="125" t="s">
        <v>68</v>
      </c>
      <c r="T41" s="401">
        <f>IFERROR(VLOOKUP(S41,'G-1 All Habitats'!$Z$2:$AA$9,2,FALSE),"")</f>
        <v>3</v>
      </c>
      <c r="U41" s="122" t="s">
        <v>1037</v>
      </c>
      <c r="V41" s="382" t="str">
        <f>IF(U41="","",IF(VLOOKUP(U41,'G-3 Multipliers'!$L$3:$N$6,2,FALSE)=0,"Spatial Data Missing ⚠",VLOOKUP(U41,'G-3 Multipliers'!$L$3:$N$6,2,FALSE)))</f>
        <v>Low Strategic Significance</v>
      </c>
      <c r="W41" s="386">
        <f>IF(U41="","",IF(VLOOKUP(U41,'G-3 Multipliers'!$L$3:$N$6,3,FALSE)=0,"Spatial Data Missing ⚠",VLOOKUP(U41,'G-3 Multipliers'!$L$3:$N$6,3,FALSE)))</f>
        <v>1</v>
      </c>
      <c r="X41" s="362">
        <f ca="1">IFERROR(IF(OR(LEFT(O41,5)="Error",LEFT(N41,5)="Error",T41="Error"),"Check Data ⚠",IF(F41&lt;R41,INDEX('G-6 Hedgerow Data'!$S$3:$AE$14,MATCH(C41,'G-6 Hedgerow Data'!$B$3:$B$14,0),MATCH(M41,'G-6 Hedgerow Data'!$S$2:$AE$2,0)),INDEX('G-6 Hedgerow Data'!$K$3:$Q$14,MATCH(M41,'G-6 Hedgerow Data'!$B$3:$B$14,0),MATCH(O41,'G-6 Hedgerow Data'!$K$2:$Q$2,0)))),"")</f>
        <v>5</v>
      </c>
      <c r="Y41" s="159"/>
      <c r="Z41" s="159"/>
      <c r="AA41" s="370" t="str">
        <f t="shared" ca="1" si="3"/>
        <v>Standard time to target condition applied</v>
      </c>
      <c r="AB41" s="383">
        <f t="shared" ca="1" si="4"/>
        <v>5</v>
      </c>
      <c r="AC41" s="384">
        <f t="shared" ca="1" si="0"/>
        <v>0.83682870060000003</v>
      </c>
      <c r="AD41" s="398" t="str">
        <f>IF(M41="","",VLOOKUP(M41,'G-6 Hedgerow Data'!$B$3:$AG$15,31,FALSE))</f>
        <v>Low</v>
      </c>
      <c r="AE41" s="370" t="str">
        <f t="shared" ca="1" si="5"/>
        <v>Standard difficulty applied</v>
      </c>
      <c r="AF41" s="370" t="str">
        <f t="shared" ca="1" si="6"/>
        <v>Low</v>
      </c>
      <c r="AG41" s="386">
        <f ca="1">IFERROR(IF(O41="","",VLOOKUP(AD41,'G-3 Multipliers'!$P$3:$Q$6,2,FALSE)),"")</f>
        <v>1</v>
      </c>
      <c r="AH41" s="376">
        <f t="shared" ca="1" si="7"/>
        <v>2.7870204750108805</v>
      </c>
      <c r="AI41" s="188"/>
      <c r="AJ41" s="118"/>
      <c r="AK41" s="120"/>
      <c r="AT41" s="30" t="str">
        <f>IFERROR(INDEX('G-6 Hedgerow Data'!$BJ$3:$BJ$15,MATCH(M41,'G-6 Hedgerow Data'!$B$3:$B$15,0)),"")</f>
        <v>Hedgecond1</v>
      </c>
    </row>
    <row r="42" spans="2:46" ht="28.5" x14ac:dyDescent="0.2">
      <c r="B42" s="392">
        <f>'B-1 On-Site Hedge Baseline'!AK40</f>
        <v>82</v>
      </c>
      <c r="C42" s="382" t="str">
        <f ca="1">IF(B42="","",IF(ISNA(VLOOKUP($B42,'B-1 On-Site Hedge Baseline'!$B$1:$L$257,3,FALSE)),"",(VLOOKUP($B42,'B-1 On-Site Hedge Baseline'!$B$1:$L$257,3,FALSE))))</f>
        <v>Species-rich native hedgerow</v>
      </c>
      <c r="D42" s="382">
        <f ca="1">IF(B42="","",IF(ISNA(VLOOKUP($B42,'B-1 On-Site Hedge Baseline'!$B$1:$L$257,4,FALSE)),"",(VLOOKUP($B42,'B-1 On-Site Hedge Baseline'!$B$1:$L$257,4,FALSE))))</f>
        <v>0.45650000000000002</v>
      </c>
      <c r="E42" s="382" t="str">
        <f ca="1">IF(B42="","",IF(ISNA(VLOOKUP($B42,'B-1 On-Site Hedge Baseline'!$B$1:$L$257,5,FALSE)),"",(VLOOKUP($B42,'B-1 On-Site Hedge Baseline'!$B$1:$L$257,5,FALSE))))</f>
        <v>Medium</v>
      </c>
      <c r="F42" s="382">
        <f ca="1">IF(B42="","",IF(ISNA(VLOOKUP($B42,'B-1 On-Site Hedge Baseline'!$B$1:$L$257,6,FALSE)),"",(VLOOKUP($B42,'B-1 On-Site Hedge Baseline'!$B$1:$L$257,6,FALSE))))</f>
        <v>4</v>
      </c>
      <c r="G42" s="382" t="str">
        <f ca="1">IF(B42="","",IF(ISNA(VLOOKUP($B42,'B-1 On-Site Hedge Baseline'!$B$1:$L$257,7,FALSE)),"",(VLOOKUP($B42,'B-1 On-Site Hedge Baseline'!$B$1:$L$257,7,FALSE))))</f>
        <v>Moderate</v>
      </c>
      <c r="H42" s="382">
        <f ca="1">IF(B42="","",IF(ISNA(VLOOKUP($B42,'B-1 On-Site Hedge Baseline'!$B$1:$L$257,8,FALSE)),"",(VLOOKUP($B42,'B-1 On-Site Hedge Baseline'!$B$1:$L$257,8,FALSE))))</f>
        <v>2</v>
      </c>
      <c r="I42" s="382" t="str">
        <f ca="1">IF(B42="","",IF(ISNA(VLOOKUP($B42,'B-1 On-Site Hedge Baseline'!$B$1:$L$257,10,FALSE)),"",(VLOOKUP($B42,'B-1 On-Site Hedge Baseline'!$B$1:$L$257,10,FALSE))))</f>
        <v>Low Strategic Significance</v>
      </c>
      <c r="J42" s="382">
        <f ca="1">IF(B42="","",IF(ISNA(VLOOKUP($B42,'B-1 On-Site Hedge Baseline'!$B$1:$L$257,11,FALSE)),"",(VLOOKUP($B42,'B-1 On-Site Hedge Baseline'!$B$1:$L$257,11,FALSE))))</f>
        <v>1</v>
      </c>
      <c r="K42" s="382">
        <f ca="1">IF(B42="","",IF(ISNA(VLOOKUP($B42,'B-1 On-Site Hedge Baseline'!$B$1:$U$257,13,FALSE)),"",(VLOOKUP($B42,'B-1 On-Site Hedge Baseline'!$B$1:$U$257,13,FALSE))))</f>
        <v>3.6520000000000001</v>
      </c>
      <c r="L42" s="386" t="str">
        <f ca="1">IF(B42="","",IF(ISNA(VLOOKUP($B42,'B-1 On-Site Hedge Baseline'!$B$1:$U$257,12,FALSE)),"",(VLOOKUP($B42,'B-1 On-Site Hedge Baseline'!$B$1:$U$257,12,FALSE))))</f>
        <v>Same distinctiveness band or better</v>
      </c>
      <c r="M42" s="315" t="str">
        <f t="shared" ca="1" si="1"/>
        <v>Species-rich native hedgerow</v>
      </c>
      <c r="N42" s="362" t="str">
        <f ca="1">IFERROR(IF(B42="","",INDEX('G-6 Hedgerow Data'!$AN$3:$AZ$15,MATCH(C42,'G-6 Hedgerow Data'!$AM$3:$AM$15,0),MATCH(M42,'G-6 Hedgerow Data'!$AN$2:$AZ$2,0))),"")</f>
        <v>Medium - Medium</v>
      </c>
      <c r="O42" s="363" t="str">
        <f t="shared" ca="1" si="2"/>
        <v>Moderate - Good</v>
      </c>
      <c r="P42" s="417">
        <f>IF(B42="","",VLOOKUP(B42,'B-1 On-Site Hedge Baseline'!$B$10:T287,16,FALSE))</f>
        <v>0.2024</v>
      </c>
      <c r="Q42" s="362" t="str">
        <f ca="1">IF(M42="","",VLOOKUP(M42,'G-6 Hedgerow Data'!$B$2:$AG$15,2,FALSE))</f>
        <v>Medium</v>
      </c>
      <c r="R42" s="363">
        <f ca="1">IF(M42="","",VLOOKUP(M42,'G-6 Hedgerow Data'!$B$2:$AG$15,3,FALSE))</f>
        <v>4</v>
      </c>
      <c r="S42" s="125" t="s">
        <v>68</v>
      </c>
      <c r="T42" s="401">
        <f>IFERROR(VLOOKUP(S42,'G-1 All Habitats'!$Z$2:$AA$9,2,FALSE),"")</f>
        <v>3</v>
      </c>
      <c r="U42" s="122" t="s">
        <v>1037</v>
      </c>
      <c r="V42" s="382" t="str">
        <f>IF(U42="","",IF(VLOOKUP(U42,'G-3 Multipliers'!$L$3:$N$6,2,FALSE)=0,"Spatial Data Missing ⚠",VLOOKUP(U42,'G-3 Multipliers'!$L$3:$N$6,2,FALSE)))</f>
        <v>Low Strategic Significance</v>
      </c>
      <c r="W42" s="386">
        <f>IF(U42="","",IF(VLOOKUP(U42,'G-3 Multipliers'!$L$3:$N$6,3,FALSE)=0,"Spatial Data Missing ⚠",VLOOKUP(U42,'G-3 Multipliers'!$L$3:$N$6,3,FALSE)))</f>
        <v>1</v>
      </c>
      <c r="X42" s="362">
        <f ca="1">IFERROR(IF(OR(LEFT(O42,5)="Error",LEFT(N42,5)="Error",T42="Error"),"Check Data ⚠",IF(F42&lt;R42,INDEX('G-6 Hedgerow Data'!$S$3:$AE$14,MATCH(C42,'G-6 Hedgerow Data'!$B$3:$B$14,0),MATCH(M42,'G-6 Hedgerow Data'!$S$2:$AE$2,0)),INDEX('G-6 Hedgerow Data'!$K$3:$Q$14,MATCH(M42,'G-6 Hedgerow Data'!$B$3:$B$14,0),MATCH(O42,'G-6 Hedgerow Data'!$K$2:$Q$2,0)))),"")</f>
        <v>2</v>
      </c>
      <c r="Y42" s="159"/>
      <c r="Z42" s="159"/>
      <c r="AA42" s="370" t="str">
        <f t="shared" ca="1" si="3"/>
        <v>Standard time to target condition applied</v>
      </c>
      <c r="AB42" s="383">
        <f t="shared" ca="1" si="4"/>
        <v>2</v>
      </c>
      <c r="AC42" s="384">
        <f t="shared" ca="1" si="0"/>
        <v>0.93122499999999997</v>
      </c>
      <c r="AD42" s="398" t="str">
        <f ca="1">IF(M42="","",VLOOKUP(M42,'G-6 Hedgerow Data'!$B$3:$AG$15,31,FALSE))</f>
        <v>Low</v>
      </c>
      <c r="AE42" s="370" t="str">
        <f t="shared" ca="1" si="5"/>
        <v>Standard difficulty applied</v>
      </c>
      <c r="AF42" s="370" t="str">
        <f t="shared" ca="1" si="6"/>
        <v>Low</v>
      </c>
      <c r="AG42" s="386">
        <f ca="1">IFERROR(IF(O42="","",VLOOKUP(AD42,'G-3 Multipliers'!$P$3:$Q$6,2,FALSE)),"")</f>
        <v>1</v>
      </c>
      <c r="AH42" s="376">
        <f t="shared" ca="1" si="7"/>
        <v>2.3731197599999998</v>
      </c>
      <c r="AI42" s="188"/>
      <c r="AJ42" s="118"/>
      <c r="AK42" s="120"/>
      <c r="AT42" s="30" t="str">
        <f ca="1">IFERROR(INDEX('G-6 Hedgerow Data'!$BJ$3:$BJ$15,MATCH(M42,'G-6 Hedgerow Data'!$B$3:$B$15,0)),"")</f>
        <v>Hedgecond1</v>
      </c>
    </row>
    <row r="43" spans="2:46" ht="28.5" x14ac:dyDescent="0.2">
      <c r="B43" s="392">
        <f>'B-1 On-Site Hedge Baseline'!AK41</f>
        <v>84</v>
      </c>
      <c r="C43" s="382" t="str">
        <f ca="1">IF(B43="","",IF(ISNA(VLOOKUP($B43,'B-1 On-Site Hedge Baseline'!$B$1:$L$257,3,FALSE)),"",(VLOOKUP($B43,'B-1 On-Site Hedge Baseline'!$B$1:$L$257,3,FALSE))))</f>
        <v>Native hedgerow</v>
      </c>
      <c r="D43" s="382">
        <f ca="1">IF(B43="","",IF(ISNA(VLOOKUP($B43,'B-1 On-Site Hedge Baseline'!$B$1:$L$257,4,FALSE)),"",(VLOOKUP($B43,'B-1 On-Site Hedge Baseline'!$B$1:$L$257,4,FALSE))))</f>
        <v>0.25069999999999998</v>
      </c>
      <c r="E43" s="382" t="str">
        <f ca="1">IF(B43="","",IF(ISNA(VLOOKUP($B43,'B-1 On-Site Hedge Baseline'!$B$1:$L$257,5,FALSE)),"",(VLOOKUP($B43,'B-1 On-Site Hedge Baseline'!$B$1:$L$257,5,FALSE))))</f>
        <v>Low</v>
      </c>
      <c r="F43" s="382">
        <f ca="1">IF(B43="","",IF(ISNA(VLOOKUP($B43,'B-1 On-Site Hedge Baseline'!$B$1:$L$257,6,FALSE)),"",(VLOOKUP($B43,'B-1 On-Site Hedge Baseline'!$B$1:$L$257,6,FALSE))))</f>
        <v>2</v>
      </c>
      <c r="G43" s="382" t="str">
        <f ca="1">IF(B43="","",IF(ISNA(VLOOKUP($B43,'B-1 On-Site Hedge Baseline'!$B$1:$L$257,7,FALSE)),"",(VLOOKUP($B43,'B-1 On-Site Hedge Baseline'!$B$1:$L$257,7,FALSE))))</f>
        <v>Moderate</v>
      </c>
      <c r="H43" s="382">
        <f ca="1">IF(B43="","",IF(ISNA(VLOOKUP($B43,'B-1 On-Site Hedge Baseline'!$B$1:$L$257,8,FALSE)),"",(VLOOKUP($B43,'B-1 On-Site Hedge Baseline'!$B$1:$L$257,8,FALSE))))</f>
        <v>2</v>
      </c>
      <c r="I43" s="382" t="str">
        <f ca="1">IF(B43="","",IF(ISNA(VLOOKUP($B43,'B-1 On-Site Hedge Baseline'!$B$1:$L$257,10,FALSE)),"",(VLOOKUP($B43,'B-1 On-Site Hedge Baseline'!$B$1:$L$257,10,FALSE))))</f>
        <v>Low Strategic Significance</v>
      </c>
      <c r="J43" s="382">
        <f ca="1">IF(B43="","",IF(ISNA(VLOOKUP($B43,'B-1 On-Site Hedge Baseline'!$B$1:$L$257,11,FALSE)),"",(VLOOKUP($B43,'B-1 On-Site Hedge Baseline'!$B$1:$L$257,11,FALSE))))</f>
        <v>1</v>
      </c>
      <c r="K43" s="382">
        <f ca="1">IF(B43="","",IF(ISNA(VLOOKUP($B43,'B-1 On-Site Hedge Baseline'!$B$1:$U$257,13,FALSE)),"",(VLOOKUP($B43,'B-1 On-Site Hedge Baseline'!$B$1:$U$257,13,FALSE))))</f>
        <v>1.0027999999999999</v>
      </c>
      <c r="L43" s="386" t="str">
        <f ca="1">IF(B43="","",IF(ISNA(VLOOKUP($B43,'B-1 On-Site Hedge Baseline'!$B$1:$U$257,12,FALSE)),"",(VLOOKUP($B43,'B-1 On-Site Hedge Baseline'!$B$1:$U$257,12,FALSE))))</f>
        <v>Same distinctiveness band or better</v>
      </c>
      <c r="M43" s="315" t="s">
        <v>171</v>
      </c>
      <c r="N43" s="362" t="str">
        <f ca="1">IFERROR(IF(B43="","",INDEX('G-6 Hedgerow Data'!$AN$3:$AZ$15,MATCH(C43,'G-6 Hedgerow Data'!$AM$3:$AM$15,0),MATCH(M43,'G-6 Hedgerow Data'!$AN$2:$AZ$2,0))),"")</f>
        <v>Low - Medium</v>
      </c>
      <c r="O43" s="363" t="str">
        <f t="shared" ca="1" si="2"/>
        <v>Lower Distinctiveness Habitat - Good</v>
      </c>
      <c r="P43" s="417">
        <f>IF(B43="","",VLOOKUP(B43,'B-1 On-Site Hedge Baseline'!$B$10:T288,16,FALSE))</f>
        <v>0.25069999999999998</v>
      </c>
      <c r="Q43" s="362" t="str">
        <f>IF(M43="","",VLOOKUP(M43,'G-6 Hedgerow Data'!$B$2:$AG$15,2,FALSE))</f>
        <v>Medium</v>
      </c>
      <c r="R43" s="363">
        <f>IF(M43="","",VLOOKUP(M43,'G-6 Hedgerow Data'!$B$2:$AG$15,3,FALSE))</f>
        <v>4</v>
      </c>
      <c r="S43" s="125" t="s">
        <v>68</v>
      </c>
      <c r="T43" s="401">
        <f>IFERROR(VLOOKUP(S43,'G-1 All Habitats'!$Z$2:$AA$9,2,FALSE),"")</f>
        <v>3</v>
      </c>
      <c r="U43" s="122" t="s">
        <v>1037</v>
      </c>
      <c r="V43" s="382" t="str">
        <f>IF(U43="","",IF(VLOOKUP(U43,'G-3 Multipliers'!$L$3:$N$6,2,FALSE)=0,"Spatial Data Missing ⚠",VLOOKUP(U43,'G-3 Multipliers'!$L$3:$N$6,2,FALSE)))</f>
        <v>Low Strategic Significance</v>
      </c>
      <c r="W43" s="386">
        <f>IF(U43="","",IF(VLOOKUP(U43,'G-3 Multipliers'!$L$3:$N$6,3,FALSE)=0,"Spatial Data Missing ⚠",VLOOKUP(U43,'G-3 Multipliers'!$L$3:$N$6,3,FALSE)))</f>
        <v>1</v>
      </c>
      <c r="X43" s="362">
        <f ca="1">IFERROR(IF(OR(LEFT(O43,5)="Error",LEFT(N43,5)="Error",T43="Error"),"Check Data ⚠",IF(F43&lt;R43,INDEX('G-6 Hedgerow Data'!$S$3:$AE$14,MATCH(C43,'G-6 Hedgerow Data'!$B$3:$B$14,0),MATCH(M43,'G-6 Hedgerow Data'!$S$2:$AE$2,0)),INDEX('G-6 Hedgerow Data'!$K$3:$Q$14,MATCH(M43,'G-6 Hedgerow Data'!$B$3:$B$14,0),MATCH(O43,'G-6 Hedgerow Data'!$K$2:$Q$2,0)))),"")</f>
        <v>5</v>
      </c>
      <c r="Y43" s="159"/>
      <c r="Z43" s="159"/>
      <c r="AA43" s="370" t="str">
        <f t="shared" ca="1" si="3"/>
        <v>Standard time to target condition applied</v>
      </c>
      <c r="AB43" s="383">
        <f t="shared" ca="1" si="4"/>
        <v>5</v>
      </c>
      <c r="AC43" s="384">
        <f t="shared" ca="1" si="0"/>
        <v>0.83682870060000003</v>
      </c>
      <c r="AD43" s="398" t="str">
        <f>IF(M43="","",VLOOKUP(M43,'G-6 Hedgerow Data'!$B$3:$AG$15,31,FALSE))</f>
        <v>Low</v>
      </c>
      <c r="AE43" s="370" t="str">
        <f t="shared" ca="1" si="5"/>
        <v>Standard difficulty applied</v>
      </c>
      <c r="AF43" s="370" t="str">
        <f t="shared" ca="1" si="6"/>
        <v>Low</v>
      </c>
      <c r="AG43" s="386">
        <f ca="1">IFERROR(IF(O43="","",VLOOKUP(AD43,'G-3 Multipliers'!$P$3:$Q$6,2,FALSE)),"")</f>
        <v>1</v>
      </c>
      <c r="AH43" s="376">
        <f t="shared" ca="1" si="7"/>
        <v>2.6811436419233603</v>
      </c>
      <c r="AI43" s="188"/>
      <c r="AJ43" s="118"/>
      <c r="AK43" s="120"/>
      <c r="AT43" s="30" t="str">
        <f>IFERROR(INDEX('G-6 Hedgerow Data'!$BJ$3:$BJ$15,MATCH(M43,'G-6 Hedgerow Data'!$B$3:$B$15,0)),"")</f>
        <v>Hedgecond1</v>
      </c>
    </row>
    <row r="44" spans="2:46" ht="28.5" x14ac:dyDescent="0.2">
      <c r="B44" s="392">
        <f>'B-1 On-Site Hedge Baseline'!AK42</f>
        <v>87</v>
      </c>
      <c r="C44" s="382" t="str">
        <f ca="1">IF(B44="","",IF(ISNA(VLOOKUP($B44,'B-1 On-Site Hedge Baseline'!$B$1:$L$257,3,FALSE)),"",(VLOOKUP($B44,'B-1 On-Site Hedge Baseline'!$B$1:$L$257,3,FALSE))))</f>
        <v>Native hedgerow</v>
      </c>
      <c r="D44" s="382">
        <f ca="1">IF(B44="","",IF(ISNA(VLOOKUP($B44,'B-1 On-Site Hedge Baseline'!$B$1:$L$257,4,FALSE)),"",(VLOOKUP($B44,'B-1 On-Site Hedge Baseline'!$B$1:$L$257,4,FALSE))))</f>
        <v>0.35420000000000001</v>
      </c>
      <c r="E44" s="382" t="str">
        <f ca="1">IF(B44="","",IF(ISNA(VLOOKUP($B44,'B-1 On-Site Hedge Baseline'!$B$1:$L$257,5,FALSE)),"",(VLOOKUP($B44,'B-1 On-Site Hedge Baseline'!$B$1:$L$257,5,FALSE))))</f>
        <v>Low</v>
      </c>
      <c r="F44" s="382">
        <f ca="1">IF(B44="","",IF(ISNA(VLOOKUP($B44,'B-1 On-Site Hedge Baseline'!$B$1:$L$257,6,FALSE)),"",(VLOOKUP($B44,'B-1 On-Site Hedge Baseline'!$B$1:$L$257,6,FALSE))))</f>
        <v>2</v>
      </c>
      <c r="G44" s="382" t="str">
        <f ca="1">IF(B44="","",IF(ISNA(VLOOKUP($B44,'B-1 On-Site Hedge Baseline'!$B$1:$L$257,7,FALSE)),"",(VLOOKUP($B44,'B-1 On-Site Hedge Baseline'!$B$1:$L$257,7,FALSE))))</f>
        <v>Moderate</v>
      </c>
      <c r="H44" s="382">
        <f ca="1">IF(B44="","",IF(ISNA(VLOOKUP($B44,'B-1 On-Site Hedge Baseline'!$B$1:$L$257,8,FALSE)),"",(VLOOKUP($B44,'B-1 On-Site Hedge Baseline'!$B$1:$L$257,8,FALSE))))</f>
        <v>2</v>
      </c>
      <c r="I44" s="382" t="str">
        <f ca="1">IF(B44="","",IF(ISNA(VLOOKUP($B44,'B-1 On-Site Hedge Baseline'!$B$1:$L$257,10,FALSE)),"",(VLOOKUP($B44,'B-1 On-Site Hedge Baseline'!$B$1:$L$257,10,FALSE))))</f>
        <v>Low Strategic Significance</v>
      </c>
      <c r="J44" s="382">
        <f ca="1">IF(B44="","",IF(ISNA(VLOOKUP($B44,'B-1 On-Site Hedge Baseline'!$B$1:$L$257,11,FALSE)),"",(VLOOKUP($B44,'B-1 On-Site Hedge Baseline'!$B$1:$L$257,11,FALSE))))</f>
        <v>1</v>
      </c>
      <c r="K44" s="382">
        <f ca="1">IF(B44="","",IF(ISNA(VLOOKUP($B44,'B-1 On-Site Hedge Baseline'!$B$1:$U$257,13,FALSE)),"",(VLOOKUP($B44,'B-1 On-Site Hedge Baseline'!$B$1:$U$257,13,FALSE))))</f>
        <v>1.4168000000000001</v>
      </c>
      <c r="L44" s="386" t="str">
        <f ca="1">IF(B44="","",IF(ISNA(VLOOKUP($B44,'B-1 On-Site Hedge Baseline'!$B$1:$U$257,12,FALSE)),"",(VLOOKUP($B44,'B-1 On-Site Hedge Baseline'!$B$1:$U$257,12,FALSE))))</f>
        <v>Same distinctiveness band or better</v>
      </c>
      <c r="M44" s="315" t="s">
        <v>171</v>
      </c>
      <c r="N44" s="362" t="str">
        <f ca="1">IFERROR(IF(B44="","",INDEX('G-6 Hedgerow Data'!$AN$3:$AZ$15,MATCH(C44,'G-6 Hedgerow Data'!$AM$3:$AM$15,0),MATCH(M44,'G-6 Hedgerow Data'!$AN$2:$AZ$2,0))),"")</f>
        <v>Low - Medium</v>
      </c>
      <c r="O44" s="363" t="str">
        <f t="shared" ca="1" si="2"/>
        <v>Lower Distinctiveness Habitat - Good</v>
      </c>
      <c r="P44" s="417">
        <f>IF(B44="","",VLOOKUP(B44,'B-1 On-Site Hedge Baseline'!$B$10:T289,16,FALSE))</f>
        <v>0.3513</v>
      </c>
      <c r="Q44" s="362" t="str">
        <f>IF(M44="","",VLOOKUP(M44,'G-6 Hedgerow Data'!$B$2:$AG$15,2,FALSE))</f>
        <v>Medium</v>
      </c>
      <c r="R44" s="363">
        <f>IF(M44="","",VLOOKUP(M44,'G-6 Hedgerow Data'!$B$2:$AG$15,3,FALSE))</f>
        <v>4</v>
      </c>
      <c r="S44" s="125" t="s">
        <v>68</v>
      </c>
      <c r="T44" s="401">
        <f>IFERROR(VLOOKUP(S44,'G-1 All Habitats'!$Z$2:$AA$9,2,FALSE),"")</f>
        <v>3</v>
      </c>
      <c r="U44" s="122" t="s">
        <v>1037</v>
      </c>
      <c r="V44" s="382" t="str">
        <f>IF(U44="","",IF(VLOOKUP(U44,'G-3 Multipliers'!$L$3:$N$6,2,FALSE)=0,"Spatial Data Missing ⚠",VLOOKUP(U44,'G-3 Multipliers'!$L$3:$N$6,2,FALSE)))</f>
        <v>Low Strategic Significance</v>
      </c>
      <c r="W44" s="386">
        <f>IF(U44="","",IF(VLOOKUP(U44,'G-3 Multipliers'!$L$3:$N$6,3,FALSE)=0,"Spatial Data Missing ⚠",VLOOKUP(U44,'G-3 Multipliers'!$L$3:$N$6,3,FALSE)))</f>
        <v>1</v>
      </c>
      <c r="X44" s="362">
        <f ca="1">IFERROR(IF(OR(LEFT(O44,5)="Error",LEFT(N44,5)="Error",T44="Error"),"Check Data ⚠",IF(F44&lt;R44,INDEX('G-6 Hedgerow Data'!$S$3:$AE$14,MATCH(C44,'G-6 Hedgerow Data'!$B$3:$B$14,0),MATCH(M44,'G-6 Hedgerow Data'!$S$2:$AE$2,0)),INDEX('G-6 Hedgerow Data'!$K$3:$Q$14,MATCH(M44,'G-6 Hedgerow Data'!$B$3:$B$14,0),MATCH(O44,'G-6 Hedgerow Data'!$K$2:$Q$2,0)))),"")</f>
        <v>5</v>
      </c>
      <c r="Y44" s="159"/>
      <c r="Z44" s="159"/>
      <c r="AA44" s="370" t="str">
        <f t="shared" ca="1" si="3"/>
        <v>Standard time to target condition applied</v>
      </c>
      <c r="AB44" s="383">
        <f t="shared" ca="1" si="4"/>
        <v>5</v>
      </c>
      <c r="AC44" s="384">
        <f t="shared" ca="1" si="0"/>
        <v>0.83682870060000003</v>
      </c>
      <c r="AD44" s="398" t="str">
        <f>IF(M44="","",VLOOKUP(M44,'G-6 Hedgerow Data'!$B$3:$AG$15,31,FALSE))</f>
        <v>Low</v>
      </c>
      <c r="AE44" s="370" t="str">
        <f t="shared" ca="1" si="5"/>
        <v>Standard difficulty applied</v>
      </c>
      <c r="AF44" s="370" t="str">
        <f t="shared" ca="1" si="6"/>
        <v>Low</v>
      </c>
      <c r="AG44" s="386">
        <f ca="1">IFERROR(IF(O44="","",VLOOKUP(AD44,'G-3 Multipliers'!$P$3:$Q$6,2,FALSE)),"")</f>
        <v>1</v>
      </c>
      <c r="AH44" s="376">
        <f t="shared" ca="1" si="7"/>
        <v>3.75702338016624</v>
      </c>
      <c r="AI44" s="188"/>
      <c r="AJ44" s="118"/>
      <c r="AK44" s="120"/>
      <c r="AT44" s="30" t="str">
        <f>IFERROR(INDEX('G-6 Hedgerow Data'!$BJ$3:$BJ$15,MATCH(M44,'G-6 Hedgerow Data'!$B$3:$B$15,0)),"")</f>
        <v>Hedgecond1</v>
      </c>
    </row>
    <row r="45" spans="2:46" ht="28.5" x14ac:dyDescent="0.2">
      <c r="B45" s="392">
        <f>'B-1 On-Site Hedge Baseline'!AK43</f>
        <v>88</v>
      </c>
      <c r="C45" s="382" t="str">
        <f ca="1">IF(B45="","",IF(ISNA(VLOOKUP($B45,'B-1 On-Site Hedge Baseline'!$B$1:$L$257,3,FALSE)),"",(VLOOKUP($B45,'B-1 On-Site Hedge Baseline'!$B$1:$L$257,3,FALSE))))</f>
        <v>Native hedgerow</v>
      </c>
      <c r="D45" s="382">
        <f ca="1">IF(B45="","",IF(ISNA(VLOOKUP($B45,'B-1 On-Site Hedge Baseline'!$B$1:$L$257,4,FALSE)),"",(VLOOKUP($B45,'B-1 On-Site Hedge Baseline'!$B$1:$L$257,4,FALSE))))</f>
        <v>6.5699999999999995E-2</v>
      </c>
      <c r="E45" s="382" t="str">
        <f ca="1">IF(B45="","",IF(ISNA(VLOOKUP($B45,'B-1 On-Site Hedge Baseline'!$B$1:$L$257,5,FALSE)),"",(VLOOKUP($B45,'B-1 On-Site Hedge Baseline'!$B$1:$L$257,5,FALSE))))</f>
        <v>Low</v>
      </c>
      <c r="F45" s="382">
        <f ca="1">IF(B45="","",IF(ISNA(VLOOKUP($B45,'B-1 On-Site Hedge Baseline'!$B$1:$L$257,6,FALSE)),"",(VLOOKUP($B45,'B-1 On-Site Hedge Baseline'!$B$1:$L$257,6,FALSE))))</f>
        <v>2</v>
      </c>
      <c r="G45" s="382" t="str">
        <f ca="1">IF(B45="","",IF(ISNA(VLOOKUP($B45,'B-1 On-Site Hedge Baseline'!$B$1:$L$257,7,FALSE)),"",(VLOOKUP($B45,'B-1 On-Site Hedge Baseline'!$B$1:$L$257,7,FALSE))))</f>
        <v>Poor</v>
      </c>
      <c r="H45" s="382">
        <f ca="1">IF(B45="","",IF(ISNA(VLOOKUP($B45,'B-1 On-Site Hedge Baseline'!$B$1:$L$257,8,FALSE)),"",(VLOOKUP($B45,'B-1 On-Site Hedge Baseline'!$B$1:$L$257,8,FALSE))))</f>
        <v>1</v>
      </c>
      <c r="I45" s="382" t="str">
        <f ca="1">IF(B45="","",IF(ISNA(VLOOKUP($B45,'B-1 On-Site Hedge Baseline'!$B$1:$L$257,10,FALSE)),"",(VLOOKUP($B45,'B-1 On-Site Hedge Baseline'!$B$1:$L$257,10,FALSE))))</f>
        <v>Low Strategic Significance</v>
      </c>
      <c r="J45" s="382">
        <f ca="1">IF(B45="","",IF(ISNA(VLOOKUP($B45,'B-1 On-Site Hedge Baseline'!$B$1:$L$257,11,FALSE)),"",(VLOOKUP($B45,'B-1 On-Site Hedge Baseline'!$B$1:$L$257,11,FALSE))))</f>
        <v>1</v>
      </c>
      <c r="K45" s="382">
        <f ca="1">IF(B45="","",IF(ISNA(VLOOKUP($B45,'B-1 On-Site Hedge Baseline'!$B$1:$U$257,13,FALSE)),"",(VLOOKUP($B45,'B-1 On-Site Hedge Baseline'!$B$1:$U$257,13,FALSE))))</f>
        <v>0.13139999999999999</v>
      </c>
      <c r="L45" s="386" t="str">
        <f ca="1">IF(B45="","",IF(ISNA(VLOOKUP($B45,'B-1 On-Site Hedge Baseline'!$B$1:$U$257,12,FALSE)),"",(VLOOKUP($B45,'B-1 On-Site Hedge Baseline'!$B$1:$U$257,12,FALSE))))</f>
        <v>Same distinctiveness band or better</v>
      </c>
      <c r="M45" s="315" t="s">
        <v>171</v>
      </c>
      <c r="N45" s="362" t="str">
        <f ca="1">IFERROR(IF(B45="","",INDEX('G-6 Hedgerow Data'!$AN$3:$AZ$15,MATCH(C45,'G-6 Hedgerow Data'!$AM$3:$AM$15,0),MATCH(M45,'G-6 Hedgerow Data'!$AN$2:$AZ$2,0))),"")</f>
        <v>Low - Medium</v>
      </c>
      <c r="O45" s="363" t="str">
        <f t="shared" ca="1" si="2"/>
        <v>Lower Distinctiveness Habitat - Good</v>
      </c>
      <c r="P45" s="417">
        <f>IF(B45="","",VLOOKUP(B45,'B-1 On-Site Hedge Baseline'!$B$10:T290,16,FALSE))</f>
        <v>6.5699999999999995E-2</v>
      </c>
      <c r="Q45" s="362" t="str">
        <f>IF(M45="","",VLOOKUP(M45,'G-6 Hedgerow Data'!$B$2:$AG$15,2,FALSE))</f>
        <v>Medium</v>
      </c>
      <c r="R45" s="363">
        <f>IF(M45="","",VLOOKUP(M45,'G-6 Hedgerow Data'!$B$2:$AG$15,3,FALSE))</f>
        <v>4</v>
      </c>
      <c r="S45" s="125" t="s">
        <v>68</v>
      </c>
      <c r="T45" s="401">
        <f>IFERROR(VLOOKUP(S45,'G-1 All Habitats'!$Z$2:$AA$9,2,FALSE),"")</f>
        <v>3</v>
      </c>
      <c r="U45" s="122" t="s">
        <v>1037</v>
      </c>
      <c r="V45" s="382" t="str">
        <f>IF(U45="","",IF(VLOOKUP(U45,'G-3 Multipliers'!$L$3:$N$6,2,FALSE)=0,"Spatial Data Missing ⚠",VLOOKUP(U45,'G-3 Multipliers'!$L$3:$N$6,2,FALSE)))</f>
        <v>Low Strategic Significance</v>
      </c>
      <c r="W45" s="386">
        <f>IF(U45="","",IF(VLOOKUP(U45,'G-3 Multipliers'!$L$3:$N$6,3,FALSE)=0,"Spatial Data Missing ⚠",VLOOKUP(U45,'G-3 Multipliers'!$L$3:$N$6,3,FALSE)))</f>
        <v>1</v>
      </c>
      <c r="X45" s="362">
        <f ca="1">IFERROR(IF(OR(LEFT(O45,5)="Error",LEFT(N45,5)="Error",T45="Error"),"Check Data ⚠",IF(F45&lt;R45,INDEX('G-6 Hedgerow Data'!$S$3:$AE$14,MATCH(C45,'G-6 Hedgerow Data'!$B$3:$B$14,0),MATCH(M45,'G-6 Hedgerow Data'!$S$2:$AE$2,0)),INDEX('G-6 Hedgerow Data'!$K$3:$Q$14,MATCH(M45,'G-6 Hedgerow Data'!$B$3:$B$14,0),MATCH(O45,'G-6 Hedgerow Data'!$K$2:$Q$2,0)))),"")</f>
        <v>5</v>
      </c>
      <c r="Y45" s="159"/>
      <c r="Z45" s="159"/>
      <c r="AA45" s="370" t="str">
        <f t="shared" ca="1" si="3"/>
        <v>Standard time to target condition applied</v>
      </c>
      <c r="AB45" s="383">
        <f t="shared" ca="1" si="4"/>
        <v>5</v>
      </c>
      <c r="AC45" s="384">
        <f t="shared" ca="1" si="0"/>
        <v>0.83682870060000003</v>
      </c>
      <c r="AD45" s="398" t="str">
        <f>IF(M45="","",VLOOKUP(M45,'G-6 Hedgerow Data'!$B$3:$AG$15,31,FALSE))</f>
        <v>Low</v>
      </c>
      <c r="AE45" s="370" t="str">
        <f t="shared" ca="1" si="5"/>
        <v>Standard difficulty applied</v>
      </c>
      <c r="AF45" s="370" t="str">
        <f t="shared" ca="1" si="6"/>
        <v>Low</v>
      </c>
      <c r="AG45" s="386">
        <f ca="1">IFERROR(IF(O45="","",VLOOKUP(AD45,'G-3 Multipliers'!$P$3:$Q$6,2,FALSE)),"")</f>
        <v>1</v>
      </c>
      <c r="AH45" s="376">
        <f t="shared" ca="1" si="7"/>
        <v>0.6811964562942</v>
      </c>
      <c r="AI45" s="188"/>
      <c r="AJ45" s="118"/>
      <c r="AK45" s="120"/>
      <c r="AT45" s="30" t="str">
        <f>IFERROR(INDEX('G-6 Hedgerow Data'!$BJ$3:$BJ$15,MATCH(M45,'G-6 Hedgerow Data'!$B$3:$B$15,0)),"")</f>
        <v>Hedgecond1</v>
      </c>
    </row>
    <row r="46" spans="2:46" ht="28.5" x14ac:dyDescent="0.2">
      <c r="B46" s="392">
        <f>'B-1 On-Site Hedge Baseline'!AK44</f>
        <v>96</v>
      </c>
      <c r="C46" s="382" t="str">
        <f ca="1">IF(B46="","",IF(ISNA(VLOOKUP($B46,'B-1 On-Site Hedge Baseline'!$B$1:$L$257,3,FALSE)),"",(VLOOKUP($B46,'B-1 On-Site Hedge Baseline'!$B$1:$L$257,3,FALSE))))</f>
        <v>Native hedgerow</v>
      </c>
      <c r="D46" s="382">
        <f ca="1">IF(B46="","",IF(ISNA(VLOOKUP($B46,'B-1 On-Site Hedge Baseline'!$B$1:$L$257,4,FALSE)),"",(VLOOKUP($B46,'B-1 On-Site Hedge Baseline'!$B$1:$L$257,4,FALSE))))</f>
        <v>0.1176</v>
      </c>
      <c r="E46" s="382" t="str">
        <f ca="1">IF(B46="","",IF(ISNA(VLOOKUP($B46,'B-1 On-Site Hedge Baseline'!$B$1:$L$257,5,FALSE)),"",(VLOOKUP($B46,'B-1 On-Site Hedge Baseline'!$B$1:$L$257,5,FALSE))))</f>
        <v>Low</v>
      </c>
      <c r="F46" s="382">
        <f ca="1">IF(B46="","",IF(ISNA(VLOOKUP($B46,'B-1 On-Site Hedge Baseline'!$B$1:$L$257,6,FALSE)),"",(VLOOKUP($B46,'B-1 On-Site Hedge Baseline'!$B$1:$L$257,6,FALSE))))</f>
        <v>2</v>
      </c>
      <c r="G46" s="382" t="str">
        <f ca="1">IF(B46="","",IF(ISNA(VLOOKUP($B46,'B-1 On-Site Hedge Baseline'!$B$1:$L$257,7,FALSE)),"",(VLOOKUP($B46,'B-1 On-Site Hedge Baseline'!$B$1:$L$257,7,FALSE))))</f>
        <v>Poor</v>
      </c>
      <c r="H46" s="382">
        <f ca="1">IF(B46="","",IF(ISNA(VLOOKUP($B46,'B-1 On-Site Hedge Baseline'!$B$1:$L$257,8,FALSE)),"",(VLOOKUP($B46,'B-1 On-Site Hedge Baseline'!$B$1:$L$257,8,FALSE))))</f>
        <v>1</v>
      </c>
      <c r="I46" s="382" t="str">
        <f ca="1">IF(B46="","",IF(ISNA(VLOOKUP($B46,'B-1 On-Site Hedge Baseline'!$B$1:$L$257,10,FALSE)),"",(VLOOKUP($B46,'B-1 On-Site Hedge Baseline'!$B$1:$L$257,10,FALSE))))</f>
        <v xml:space="preserve">High strategic significance </v>
      </c>
      <c r="J46" s="382">
        <f ca="1">IF(B46="","",IF(ISNA(VLOOKUP($B46,'B-1 On-Site Hedge Baseline'!$B$1:$L$257,11,FALSE)),"",(VLOOKUP($B46,'B-1 On-Site Hedge Baseline'!$B$1:$L$257,11,FALSE))))</f>
        <v>1.1499999999999999</v>
      </c>
      <c r="K46" s="382">
        <f ca="1">IF(B46="","",IF(ISNA(VLOOKUP($B46,'B-1 On-Site Hedge Baseline'!$B$1:$U$257,13,FALSE)),"",(VLOOKUP($B46,'B-1 On-Site Hedge Baseline'!$B$1:$U$257,13,FALSE))))</f>
        <v>0.27047999999999994</v>
      </c>
      <c r="L46" s="386" t="str">
        <f ca="1">IF(B46="","",IF(ISNA(VLOOKUP($B46,'B-1 On-Site Hedge Baseline'!$B$1:$U$257,12,FALSE)),"",(VLOOKUP($B46,'B-1 On-Site Hedge Baseline'!$B$1:$U$257,12,FALSE))))</f>
        <v>Same distinctiveness band or better</v>
      </c>
      <c r="M46" s="315" t="s">
        <v>171</v>
      </c>
      <c r="N46" s="362" t="str">
        <f ca="1">IFERROR(IF(B46="","",INDEX('G-6 Hedgerow Data'!$AN$3:$AZ$15,MATCH(C46,'G-6 Hedgerow Data'!$AM$3:$AM$15,0),MATCH(M46,'G-6 Hedgerow Data'!$AN$2:$AZ$2,0))),"")</f>
        <v>Low - Medium</v>
      </c>
      <c r="O46" s="363" t="str">
        <f t="shared" ca="1" si="2"/>
        <v>Lower Distinctiveness Habitat - Good</v>
      </c>
      <c r="P46" s="417">
        <f>IF(B46="","",VLOOKUP(B46,'B-1 On-Site Hedge Baseline'!$B$10:T291,16,FALSE))</f>
        <v>0.1008</v>
      </c>
      <c r="Q46" s="362" t="str">
        <f>IF(M46="","",VLOOKUP(M46,'G-6 Hedgerow Data'!$B$2:$AG$15,2,FALSE))</f>
        <v>Medium</v>
      </c>
      <c r="R46" s="363">
        <f>IF(M46="","",VLOOKUP(M46,'G-6 Hedgerow Data'!$B$2:$AG$15,3,FALSE))</f>
        <v>4</v>
      </c>
      <c r="S46" s="125" t="s">
        <v>68</v>
      </c>
      <c r="T46" s="401">
        <f>IFERROR(VLOOKUP(S46,'G-1 All Habitats'!$Z$2:$AA$9,2,FALSE),"")</f>
        <v>3</v>
      </c>
      <c r="U46" s="122" t="s">
        <v>1029</v>
      </c>
      <c r="V46" s="382" t="str">
        <f>IF(U46="","",IF(VLOOKUP(U46,'G-3 Multipliers'!$L$3:$N$6,2,FALSE)=0,"Spatial Data Missing ⚠",VLOOKUP(U46,'G-3 Multipliers'!$L$3:$N$6,2,FALSE)))</f>
        <v xml:space="preserve">High strategic significance </v>
      </c>
      <c r="W46" s="386">
        <f>IF(U46="","",IF(VLOOKUP(U46,'G-3 Multipliers'!$L$3:$N$6,3,FALSE)=0,"Spatial Data Missing ⚠",VLOOKUP(U46,'G-3 Multipliers'!$L$3:$N$6,3,FALSE)))</f>
        <v>1.1499999999999999</v>
      </c>
      <c r="X46" s="362">
        <f ca="1">IFERROR(IF(OR(LEFT(O46,5)="Error",LEFT(N46,5)="Error",T46="Error"),"Check Data ⚠",IF(F46&lt;R46,INDEX('G-6 Hedgerow Data'!$S$3:$AE$14,MATCH(C46,'G-6 Hedgerow Data'!$B$3:$B$14,0),MATCH(M46,'G-6 Hedgerow Data'!$S$2:$AE$2,0)),INDEX('G-6 Hedgerow Data'!$K$3:$Q$14,MATCH(M46,'G-6 Hedgerow Data'!$B$3:$B$14,0),MATCH(O46,'G-6 Hedgerow Data'!$K$2:$Q$2,0)))),"")</f>
        <v>5</v>
      </c>
      <c r="Y46" s="159"/>
      <c r="Z46" s="159"/>
      <c r="AA46" s="370" t="str">
        <f t="shared" ca="1" si="3"/>
        <v>Standard time to target condition applied</v>
      </c>
      <c r="AB46" s="383">
        <f t="shared" ca="1" si="4"/>
        <v>5</v>
      </c>
      <c r="AC46" s="384">
        <f t="shared" ca="1" si="0"/>
        <v>0.83682870060000003</v>
      </c>
      <c r="AD46" s="398" t="str">
        <f>IF(M46="","",VLOOKUP(M46,'G-6 Hedgerow Data'!$B$3:$AG$15,31,FALSE))</f>
        <v>Low</v>
      </c>
      <c r="AE46" s="370" t="str">
        <f t="shared" ca="1" si="5"/>
        <v>Standard difficulty applied</v>
      </c>
      <c r="AF46" s="370" t="str">
        <f t="shared" ca="1" si="6"/>
        <v>Low</v>
      </c>
      <c r="AG46" s="386">
        <f ca="1">IFERROR(IF(O46="","",VLOOKUP(AD46,'G-3 Multipliers'!$P$3:$Q$6,2,FALSE)),"")</f>
        <v>1</v>
      </c>
      <c r="AH46" s="376">
        <f t="shared" ca="1" si="7"/>
        <v>1.2018918297355201</v>
      </c>
      <c r="AI46" s="188"/>
      <c r="AJ46" s="118"/>
      <c r="AK46" s="120"/>
      <c r="AT46" s="30" t="str">
        <f>IFERROR(INDEX('G-6 Hedgerow Data'!$BJ$3:$BJ$15,MATCH(M46,'G-6 Hedgerow Data'!$B$3:$B$15,0)),"")</f>
        <v>Hedgecond1</v>
      </c>
    </row>
    <row r="47" spans="2:46" ht="28.5" x14ac:dyDescent="0.2">
      <c r="B47" s="392">
        <f>'B-1 On-Site Hedge Baseline'!AK45</f>
        <v>97</v>
      </c>
      <c r="C47" s="382" t="str">
        <f ca="1">IF(B47="","",IF(ISNA(VLOOKUP($B47,'B-1 On-Site Hedge Baseline'!$B$1:$L$257,3,FALSE)),"",(VLOOKUP($B47,'B-1 On-Site Hedge Baseline'!$B$1:$L$257,3,FALSE))))</f>
        <v>Native hedgerow</v>
      </c>
      <c r="D47" s="382">
        <f ca="1">IF(B47="","",IF(ISNA(VLOOKUP($B47,'B-1 On-Site Hedge Baseline'!$B$1:$L$257,4,FALSE)),"",(VLOOKUP($B47,'B-1 On-Site Hedge Baseline'!$B$1:$L$257,4,FALSE))))</f>
        <v>0.55349999999999999</v>
      </c>
      <c r="E47" s="382" t="str">
        <f ca="1">IF(B47="","",IF(ISNA(VLOOKUP($B47,'B-1 On-Site Hedge Baseline'!$B$1:$L$257,5,FALSE)),"",(VLOOKUP($B47,'B-1 On-Site Hedge Baseline'!$B$1:$L$257,5,FALSE))))</f>
        <v>Low</v>
      </c>
      <c r="F47" s="382">
        <f ca="1">IF(B47="","",IF(ISNA(VLOOKUP($B47,'B-1 On-Site Hedge Baseline'!$B$1:$L$257,6,FALSE)),"",(VLOOKUP($B47,'B-1 On-Site Hedge Baseline'!$B$1:$L$257,6,FALSE))))</f>
        <v>2</v>
      </c>
      <c r="G47" s="382" t="str">
        <f ca="1">IF(B47="","",IF(ISNA(VLOOKUP($B47,'B-1 On-Site Hedge Baseline'!$B$1:$L$257,7,FALSE)),"",(VLOOKUP($B47,'B-1 On-Site Hedge Baseline'!$B$1:$L$257,7,FALSE))))</f>
        <v>Good</v>
      </c>
      <c r="H47" s="382">
        <f ca="1">IF(B47="","",IF(ISNA(VLOOKUP($B47,'B-1 On-Site Hedge Baseline'!$B$1:$L$257,8,FALSE)),"",(VLOOKUP($B47,'B-1 On-Site Hedge Baseline'!$B$1:$L$257,8,FALSE))))</f>
        <v>3</v>
      </c>
      <c r="I47" s="382" t="str">
        <f ca="1">IF(B47="","",IF(ISNA(VLOOKUP($B47,'B-1 On-Site Hedge Baseline'!$B$1:$L$257,10,FALSE)),"",(VLOOKUP($B47,'B-1 On-Site Hedge Baseline'!$B$1:$L$257,10,FALSE))))</f>
        <v>Low Strategic Significance</v>
      </c>
      <c r="J47" s="382">
        <f ca="1">IF(B47="","",IF(ISNA(VLOOKUP($B47,'B-1 On-Site Hedge Baseline'!$B$1:$L$257,11,FALSE)),"",(VLOOKUP($B47,'B-1 On-Site Hedge Baseline'!$B$1:$L$257,11,FALSE))))</f>
        <v>1</v>
      </c>
      <c r="K47" s="382">
        <f ca="1">IF(B47="","",IF(ISNA(VLOOKUP($B47,'B-1 On-Site Hedge Baseline'!$B$1:$U$257,13,FALSE)),"",(VLOOKUP($B47,'B-1 On-Site Hedge Baseline'!$B$1:$U$257,13,FALSE))))</f>
        <v>3.3209999999999997</v>
      </c>
      <c r="L47" s="386" t="str">
        <f ca="1">IF(B47="","",IF(ISNA(VLOOKUP($B47,'B-1 On-Site Hedge Baseline'!$B$1:$U$257,12,FALSE)),"",(VLOOKUP($B47,'B-1 On-Site Hedge Baseline'!$B$1:$U$257,12,FALSE))))</f>
        <v>Same distinctiveness band or better</v>
      </c>
      <c r="M47" s="315" t="s">
        <v>171</v>
      </c>
      <c r="N47" s="362" t="str">
        <f ca="1">IFERROR(IF(B47="","",INDEX('G-6 Hedgerow Data'!$AN$3:$AZ$15,MATCH(C47,'G-6 Hedgerow Data'!$AM$3:$AM$15,0),MATCH(M47,'G-6 Hedgerow Data'!$AN$2:$AZ$2,0))),"")</f>
        <v>Low - Medium</v>
      </c>
      <c r="O47" s="363" t="str">
        <f t="shared" ca="1" si="2"/>
        <v>Lower Distinctiveness Habitat - Good</v>
      </c>
      <c r="P47" s="417">
        <f>IF(B47="","",VLOOKUP(B47,'B-1 On-Site Hedge Baseline'!$B$10:T292,16,FALSE))</f>
        <v>0.3982</v>
      </c>
      <c r="Q47" s="362" t="str">
        <f>IF(M47="","",VLOOKUP(M47,'G-6 Hedgerow Data'!$B$2:$AG$15,2,FALSE))</f>
        <v>Medium</v>
      </c>
      <c r="R47" s="363">
        <f>IF(M47="","",VLOOKUP(M47,'G-6 Hedgerow Data'!$B$2:$AG$15,3,FALSE))</f>
        <v>4</v>
      </c>
      <c r="S47" s="125" t="s">
        <v>68</v>
      </c>
      <c r="T47" s="401">
        <f>IFERROR(VLOOKUP(S47,'G-1 All Habitats'!$Z$2:$AA$9,2,FALSE),"")</f>
        <v>3</v>
      </c>
      <c r="U47" s="122" t="s">
        <v>1037</v>
      </c>
      <c r="V47" s="382" t="str">
        <f>IF(U47="","",IF(VLOOKUP(U47,'G-3 Multipliers'!$L$3:$N$6,2,FALSE)=0,"Spatial Data Missing ⚠",VLOOKUP(U47,'G-3 Multipliers'!$L$3:$N$6,2,FALSE)))</f>
        <v>Low Strategic Significance</v>
      </c>
      <c r="W47" s="386">
        <f>IF(U47="","",IF(VLOOKUP(U47,'G-3 Multipliers'!$L$3:$N$6,3,FALSE)=0,"Spatial Data Missing ⚠",VLOOKUP(U47,'G-3 Multipliers'!$L$3:$N$6,3,FALSE)))</f>
        <v>1</v>
      </c>
      <c r="X47" s="362">
        <f ca="1">IFERROR(IF(OR(LEFT(O47,5)="Error",LEFT(N47,5)="Error",T47="Error"),"Check Data ⚠",IF(F47&lt;R47,INDEX('G-6 Hedgerow Data'!$S$3:$AE$14,MATCH(C47,'G-6 Hedgerow Data'!$B$3:$B$14,0),MATCH(M47,'G-6 Hedgerow Data'!$S$2:$AE$2,0)),INDEX('G-6 Hedgerow Data'!$K$3:$Q$14,MATCH(M47,'G-6 Hedgerow Data'!$B$3:$B$14,0),MATCH(O47,'G-6 Hedgerow Data'!$K$2:$Q$2,0)))),"")</f>
        <v>5</v>
      </c>
      <c r="Y47" s="159"/>
      <c r="Z47" s="159"/>
      <c r="AA47" s="370" t="str">
        <f t="shared" ca="1" si="3"/>
        <v>Standard time to target condition applied</v>
      </c>
      <c r="AB47" s="383">
        <f t="shared" ca="1" si="4"/>
        <v>5</v>
      </c>
      <c r="AC47" s="384">
        <f t="shared" ca="1" si="0"/>
        <v>0.83682870060000003</v>
      </c>
      <c r="AD47" s="398" t="str">
        <f>IF(M47="","",VLOOKUP(M47,'G-6 Hedgerow Data'!$B$3:$AG$15,31,FALSE))</f>
        <v>Low</v>
      </c>
      <c r="AE47" s="370" t="str">
        <f t="shared" ca="1" si="5"/>
        <v>Standard difficulty applied</v>
      </c>
      <c r="AF47" s="370" t="str">
        <f t="shared" ca="1" si="6"/>
        <v>Low</v>
      </c>
      <c r="AG47" s="386">
        <f ca="1">IFERROR(IF(O47="","",VLOOKUP(AD47,'G-3 Multipliers'!$P$3:$Q$6,2,FALSE)),"")</f>
        <v>1</v>
      </c>
      <c r="AH47" s="376">
        <f t="shared" ca="1" si="7"/>
        <v>4.3885511314735197</v>
      </c>
      <c r="AI47" s="188"/>
      <c r="AJ47" s="118"/>
      <c r="AK47" s="120"/>
      <c r="AT47" s="30" t="str">
        <f>IFERROR(INDEX('G-6 Hedgerow Data'!$BJ$3:$BJ$15,MATCH(M47,'G-6 Hedgerow Data'!$B$3:$B$15,0)),"")</f>
        <v>Hedgecond1</v>
      </c>
    </row>
    <row r="48" spans="2:46" ht="28.5" x14ac:dyDescent="0.2">
      <c r="B48" s="392">
        <f>'B-1 On-Site Hedge Baseline'!AK46</f>
        <v>100</v>
      </c>
      <c r="C48" s="382" t="str">
        <f ca="1">IF(B48="","",IF(ISNA(VLOOKUP($B48,'B-1 On-Site Hedge Baseline'!$B$1:$L$257,3,FALSE)),"",(VLOOKUP($B48,'B-1 On-Site Hedge Baseline'!$B$1:$L$257,3,FALSE))))</f>
        <v>Native hedgerow with trees</v>
      </c>
      <c r="D48" s="382">
        <f ca="1">IF(B48="","",IF(ISNA(VLOOKUP($B48,'B-1 On-Site Hedge Baseline'!$B$1:$L$257,4,FALSE)),"",(VLOOKUP($B48,'B-1 On-Site Hedge Baseline'!$B$1:$L$257,4,FALSE))))</f>
        <v>0.53720000000000001</v>
      </c>
      <c r="E48" s="382" t="str">
        <f ca="1">IF(B48="","",IF(ISNA(VLOOKUP($B48,'B-1 On-Site Hedge Baseline'!$B$1:$L$257,5,FALSE)),"",(VLOOKUP($B48,'B-1 On-Site Hedge Baseline'!$B$1:$L$257,5,FALSE))))</f>
        <v>Medium</v>
      </c>
      <c r="F48" s="382">
        <f ca="1">IF(B48="","",IF(ISNA(VLOOKUP($B48,'B-1 On-Site Hedge Baseline'!$B$1:$L$257,6,FALSE)),"",(VLOOKUP($B48,'B-1 On-Site Hedge Baseline'!$B$1:$L$257,6,FALSE))))</f>
        <v>4</v>
      </c>
      <c r="G48" s="382" t="str">
        <f ca="1">IF(B48="","",IF(ISNA(VLOOKUP($B48,'B-1 On-Site Hedge Baseline'!$B$1:$L$257,7,FALSE)),"",(VLOOKUP($B48,'B-1 On-Site Hedge Baseline'!$B$1:$L$257,7,FALSE))))</f>
        <v>Good</v>
      </c>
      <c r="H48" s="382">
        <f ca="1">IF(B48="","",IF(ISNA(VLOOKUP($B48,'B-1 On-Site Hedge Baseline'!$B$1:$L$257,8,FALSE)),"",(VLOOKUP($B48,'B-1 On-Site Hedge Baseline'!$B$1:$L$257,8,FALSE))))</f>
        <v>3</v>
      </c>
      <c r="I48" s="382" t="str">
        <f ca="1">IF(B48="","",IF(ISNA(VLOOKUP($B48,'B-1 On-Site Hedge Baseline'!$B$1:$L$257,10,FALSE)),"",(VLOOKUP($B48,'B-1 On-Site Hedge Baseline'!$B$1:$L$257,10,FALSE))))</f>
        <v>Low Strategic Significance</v>
      </c>
      <c r="J48" s="382">
        <f ca="1">IF(B48="","",IF(ISNA(VLOOKUP($B48,'B-1 On-Site Hedge Baseline'!$B$1:$L$257,11,FALSE)),"",(VLOOKUP($B48,'B-1 On-Site Hedge Baseline'!$B$1:$L$257,11,FALSE))))</f>
        <v>1</v>
      </c>
      <c r="K48" s="382">
        <f ca="1">IF(B48="","",IF(ISNA(VLOOKUP($B48,'B-1 On-Site Hedge Baseline'!$B$1:$U$257,13,FALSE)),"",(VLOOKUP($B48,'B-1 On-Site Hedge Baseline'!$B$1:$U$257,13,FALSE))))</f>
        <v>6.4464000000000006</v>
      </c>
      <c r="L48" s="386" t="str">
        <f ca="1">IF(B48="","",IF(ISNA(VLOOKUP($B48,'B-1 On-Site Hedge Baseline'!$B$1:$U$257,12,FALSE)),"",(VLOOKUP($B48,'B-1 On-Site Hedge Baseline'!$B$1:$U$257,12,FALSE))))</f>
        <v>Same distinctiveness band or better</v>
      </c>
      <c r="M48" s="315" t="s">
        <v>168</v>
      </c>
      <c r="N48" s="362" t="str">
        <f ca="1">IFERROR(IF(B48="","",INDEX('G-6 Hedgerow Data'!$AN$3:$AZ$15,MATCH(C48,'G-6 Hedgerow Data'!$AM$3:$AM$15,0),MATCH(M48,'G-6 Hedgerow Data'!$AN$2:$AZ$2,0))),"")</f>
        <v>Medium - High</v>
      </c>
      <c r="O48" s="363" t="str">
        <f t="shared" ca="1" si="2"/>
        <v>Lower Distinctiveness Habitat - Good</v>
      </c>
      <c r="P48" s="417">
        <f>IF(B48="","",VLOOKUP(B48,'B-1 On-Site Hedge Baseline'!$B$10:T293,16,FALSE))</f>
        <v>0.48970000000000002</v>
      </c>
      <c r="Q48" s="362" t="str">
        <f>IF(M48="","",VLOOKUP(M48,'G-6 Hedgerow Data'!$B$2:$AG$15,2,FALSE))</f>
        <v>High</v>
      </c>
      <c r="R48" s="363">
        <f>IF(M48="","",VLOOKUP(M48,'G-6 Hedgerow Data'!$B$2:$AG$15,3,FALSE))</f>
        <v>6</v>
      </c>
      <c r="S48" s="125" t="s">
        <v>68</v>
      </c>
      <c r="T48" s="401">
        <f>IFERROR(VLOOKUP(S48,'G-1 All Habitats'!$Z$2:$AA$9,2,FALSE),"")</f>
        <v>3</v>
      </c>
      <c r="U48" s="122" t="s">
        <v>1037</v>
      </c>
      <c r="V48" s="382" t="str">
        <f>IF(U48="","",IF(VLOOKUP(U48,'G-3 Multipliers'!$L$3:$N$6,2,FALSE)=0,"Spatial Data Missing ⚠",VLOOKUP(U48,'G-3 Multipliers'!$L$3:$N$6,2,FALSE)))</f>
        <v>Low Strategic Significance</v>
      </c>
      <c r="W48" s="386">
        <f>IF(U48="","",IF(VLOOKUP(U48,'G-3 Multipliers'!$L$3:$N$6,3,FALSE)=0,"Spatial Data Missing ⚠",VLOOKUP(U48,'G-3 Multipliers'!$L$3:$N$6,3,FALSE)))</f>
        <v>1</v>
      </c>
      <c r="X48" s="362">
        <f ca="1">IFERROR(IF(OR(LEFT(O48,5)="Error",LEFT(N48,5)="Error",T48="Error"),"Check Data ⚠",IF(F48&lt;R48,INDEX('G-6 Hedgerow Data'!$S$3:$AE$14,MATCH(C48,'G-6 Hedgerow Data'!$B$3:$B$14,0),MATCH(M48,'G-6 Hedgerow Data'!$S$2:$AE$2,0)),INDEX('G-6 Hedgerow Data'!$K$3:$Q$14,MATCH(M48,'G-6 Hedgerow Data'!$B$3:$B$14,0),MATCH(O48,'G-6 Hedgerow Data'!$K$2:$Q$2,0)))),"")</f>
        <v>5</v>
      </c>
      <c r="Y48" s="159"/>
      <c r="Z48" s="159"/>
      <c r="AA48" s="370" t="str">
        <f t="shared" ca="1" si="3"/>
        <v>Standard time to target condition applied</v>
      </c>
      <c r="AB48" s="383">
        <f t="shared" ca="1" si="4"/>
        <v>5</v>
      </c>
      <c r="AC48" s="384">
        <f t="shared" ca="1" si="0"/>
        <v>0.83682870060000003</v>
      </c>
      <c r="AD48" s="398" t="str">
        <f>IF(M48="","",VLOOKUP(M48,'G-6 Hedgerow Data'!$B$3:$AG$15,31,FALSE))</f>
        <v>Low</v>
      </c>
      <c r="AE48" s="370" t="str">
        <f t="shared" ca="1" si="5"/>
        <v>Standard difficulty applied</v>
      </c>
      <c r="AF48" s="370" t="str">
        <f t="shared" ca="1" si="6"/>
        <v>Low</v>
      </c>
      <c r="AG48" s="386">
        <f ca="1">IFERROR(IF(O48="","",VLOOKUP(AD48,'G-3 Multipliers'!$P$3:$Q$6,2,FALSE)),"")</f>
        <v>1</v>
      </c>
      <c r="AH48" s="376">
        <f t="shared" ca="1" si="7"/>
        <v>8.3351700881029203</v>
      </c>
      <c r="AI48" s="188"/>
      <c r="AJ48" s="118"/>
      <c r="AK48" s="120"/>
      <c r="AT48" s="30" t="str">
        <f>IFERROR(INDEX('G-6 Hedgerow Data'!$BJ$3:$BJ$15,MATCH(M48,'G-6 Hedgerow Data'!$B$3:$B$15,0)),"")</f>
        <v>Hedgecond1</v>
      </c>
    </row>
    <row r="49" spans="2:46" ht="28.5" x14ac:dyDescent="0.2">
      <c r="B49" s="392">
        <f>'B-1 On-Site Hedge Baseline'!AK47</f>
        <v>101</v>
      </c>
      <c r="C49" s="382" t="str">
        <f ca="1">IF(B49="","",IF(ISNA(VLOOKUP($B49,'B-1 On-Site Hedge Baseline'!$B$1:$L$257,3,FALSE)),"",(VLOOKUP($B49,'B-1 On-Site Hedge Baseline'!$B$1:$L$257,3,FALSE))))</f>
        <v>Species-rich native hedgerow</v>
      </c>
      <c r="D49" s="382">
        <f ca="1">IF(B49="","",IF(ISNA(VLOOKUP($B49,'B-1 On-Site Hedge Baseline'!$B$1:$L$257,4,FALSE)),"",(VLOOKUP($B49,'B-1 On-Site Hedge Baseline'!$B$1:$L$257,4,FALSE))))</f>
        <v>0.54990000000000006</v>
      </c>
      <c r="E49" s="382" t="str">
        <f ca="1">IF(B49="","",IF(ISNA(VLOOKUP($B49,'B-1 On-Site Hedge Baseline'!$B$1:$L$257,5,FALSE)),"",(VLOOKUP($B49,'B-1 On-Site Hedge Baseline'!$B$1:$L$257,5,FALSE))))</f>
        <v>Medium</v>
      </c>
      <c r="F49" s="382">
        <f ca="1">IF(B49="","",IF(ISNA(VLOOKUP($B49,'B-1 On-Site Hedge Baseline'!$B$1:$L$257,6,FALSE)),"",(VLOOKUP($B49,'B-1 On-Site Hedge Baseline'!$B$1:$L$257,6,FALSE))))</f>
        <v>4</v>
      </c>
      <c r="G49" s="382" t="str">
        <f ca="1">IF(B49="","",IF(ISNA(VLOOKUP($B49,'B-1 On-Site Hedge Baseline'!$B$1:$L$257,7,FALSE)),"",(VLOOKUP($B49,'B-1 On-Site Hedge Baseline'!$B$1:$L$257,7,FALSE))))</f>
        <v>Good</v>
      </c>
      <c r="H49" s="382">
        <f ca="1">IF(B49="","",IF(ISNA(VLOOKUP($B49,'B-1 On-Site Hedge Baseline'!$B$1:$L$257,8,FALSE)),"",(VLOOKUP($B49,'B-1 On-Site Hedge Baseline'!$B$1:$L$257,8,FALSE))))</f>
        <v>3</v>
      </c>
      <c r="I49" s="382" t="str">
        <f ca="1">IF(B49="","",IF(ISNA(VLOOKUP($B49,'B-1 On-Site Hedge Baseline'!$B$1:$L$257,10,FALSE)),"",(VLOOKUP($B49,'B-1 On-Site Hedge Baseline'!$B$1:$L$257,10,FALSE))))</f>
        <v>Low Strategic Significance</v>
      </c>
      <c r="J49" s="382">
        <f ca="1">IF(B49="","",IF(ISNA(VLOOKUP($B49,'B-1 On-Site Hedge Baseline'!$B$1:$L$257,11,FALSE)),"",(VLOOKUP($B49,'B-1 On-Site Hedge Baseline'!$B$1:$L$257,11,FALSE))))</f>
        <v>1</v>
      </c>
      <c r="K49" s="382">
        <f ca="1">IF(B49="","",IF(ISNA(VLOOKUP($B49,'B-1 On-Site Hedge Baseline'!$B$1:$U$257,13,FALSE)),"",(VLOOKUP($B49,'B-1 On-Site Hedge Baseline'!$B$1:$U$257,13,FALSE))))</f>
        <v>6.5988000000000007</v>
      </c>
      <c r="L49" s="386" t="str">
        <f ca="1">IF(B49="","",IF(ISNA(VLOOKUP($B49,'B-1 On-Site Hedge Baseline'!$B$1:$U$257,12,FALSE)),"",(VLOOKUP($B49,'B-1 On-Site Hedge Baseline'!$B$1:$U$257,12,FALSE))))</f>
        <v>Same distinctiveness band or better</v>
      </c>
      <c r="M49" s="315" t="s">
        <v>168</v>
      </c>
      <c r="N49" s="362" t="str">
        <f ca="1">IFERROR(IF(B49="","",INDEX('G-6 Hedgerow Data'!$AN$3:$AZ$15,MATCH(C49,'G-6 Hedgerow Data'!$AM$3:$AM$15,0),MATCH(M49,'G-6 Hedgerow Data'!$AN$2:$AZ$2,0))),"")</f>
        <v>Medium - High</v>
      </c>
      <c r="O49" s="363" t="str">
        <f t="shared" ca="1" si="2"/>
        <v>Lower Distinctiveness Habitat - Good</v>
      </c>
      <c r="P49" s="417">
        <f>IF(B49="","",VLOOKUP(B49,'B-1 On-Site Hedge Baseline'!$B$10:T294,16,FALSE))</f>
        <v>0.4703</v>
      </c>
      <c r="Q49" s="362" t="str">
        <f>IF(M49="","",VLOOKUP(M49,'G-6 Hedgerow Data'!$B$2:$AG$15,2,FALSE))</f>
        <v>High</v>
      </c>
      <c r="R49" s="363">
        <f>IF(M49="","",VLOOKUP(M49,'G-6 Hedgerow Data'!$B$2:$AG$15,3,FALSE))</f>
        <v>6</v>
      </c>
      <c r="S49" s="125" t="s">
        <v>68</v>
      </c>
      <c r="T49" s="401">
        <f>IFERROR(VLOOKUP(S49,'G-1 All Habitats'!$Z$2:$AA$9,2,FALSE),"")</f>
        <v>3</v>
      </c>
      <c r="U49" s="122" t="s">
        <v>1037</v>
      </c>
      <c r="V49" s="382" t="str">
        <f>IF(U49="","",IF(VLOOKUP(U49,'G-3 Multipliers'!$L$3:$N$6,2,FALSE)=0,"Spatial Data Missing ⚠",VLOOKUP(U49,'G-3 Multipliers'!$L$3:$N$6,2,FALSE)))</f>
        <v>Low Strategic Significance</v>
      </c>
      <c r="W49" s="386">
        <f>IF(U49="","",IF(VLOOKUP(U49,'G-3 Multipliers'!$L$3:$N$6,3,FALSE)=0,"Spatial Data Missing ⚠",VLOOKUP(U49,'G-3 Multipliers'!$L$3:$N$6,3,FALSE)))</f>
        <v>1</v>
      </c>
      <c r="X49" s="362">
        <f ca="1">IFERROR(IF(OR(LEFT(O49,5)="Error",LEFT(N49,5)="Error",T49="Error"),"Check Data ⚠",IF(F49&lt;R49,INDEX('G-6 Hedgerow Data'!$S$3:$AE$14,MATCH(C49,'G-6 Hedgerow Data'!$B$3:$B$14,0),MATCH(M49,'G-6 Hedgerow Data'!$S$2:$AE$2,0)),INDEX('G-6 Hedgerow Data'!$K$3:$Q$14,MATCH(M49,'G-6 Hedgerow Data'!$B$3:$B$14,0),MATCH(O49,'G-6 Hedgerow Data'!$K$2:$Q$2,0)))),"")</f>
        <v>10</v>
      </c>
      <c r="Y49" s="159"/>
      <c r="Z49" s="159"/>
      <c r="AA49" s="370" t="str">
        <f t="shared" ca="1" si="3"/>
        <v>Standard time to target condition applied</v>
      </c>
      <c r="AB49" s="383">
        <f t="shared" ca="1" si="4"/>
        <v>10</v>
      </c>
      <c r="AC49" s="384">
        <f t="shared" ca="1" si="0"/>
        <v>0.70028227419999989</v>
      </c>
      <c r="AD49" s="398" t="str">
        <f>IF(M49="","",VLOOKUP(M49,'G-6 Hedgerow Data'!$B$3:$AG$15,31,FALSE))</f>
        <v>Low</v>
      </c>
      <c r="AE49" s="370" t="str">
        <f t="shared" ca="1" si="5"/>
        <v>Standard difficulty applied</v>
      </c>
      <c r="AF49" s="370" t="str">
        <f t="shared" ca="1" si="6"/>
        <v>Low</v>
      </c>
      <c r="AG49" s="386">
        <f ca="1">IFERROR(IF(O49="","",VLOOKUP(AD49,'G-3 Multipliers'!$P$3:$Q$6,2,FALSE)),"")</f>
        <v>1</v>
      </c>
      <c r="AH49" s="376">
        <f t="shared" ca="1" si="7"/>
        <v>7.6196565213375607</v>
      </c>
      <c r="AI49" s="188"/>
      <c r="AJ49" s="118"/>
      <c r="AK49" s="120"/>
      <c r="AT49" s="30" t="str">
        <f>IFERROR(INDEX('G-6 Hedgerow Data'!$BJ$3:$BJ$15,MATCH(M49,'G-6 Hedgerow Data'!$B$3:$B$15,0)),"")</f>
        <v>Hedgecond1</v>
      </c>
    </row>
    <row r="50" spans="2:46" ht="28.5" x14ac:dyDescent="0.2">
      <c r="B50" s="392">
        <f>'B-1 On-Site Hedge Baseline'!AK48</f>
        <v>105</v>
      </c>
      <c r="C50" s="382" t="str">
        <f ca="1">IF(B50="","",IF(ISNA(VLOOKUP($B50,'B-1 On-Site Hedge Baseline'!$B$1:$L$257,3,FALSE)),"",(VLOOKUP($B50,'B-1 On-Site Hedge Baseline'!$B$1:$L$257,3,FALSE))))</f>
        <v>Species-rich native hedgerow</v>
      </c>
      <c r="D50" s="382">
        <f ca="1">IF(B50="","",IF(ISNA(VLOOKUP($B50,'B-1 On-Site Hedge Baseline'!$B$1:$L$257,4,FALSE)),"",(VLOOKUP($B50,'B-1 On-Site Hedge Baseline'!$B$1:$L$257,4,FALSE))))</f>
        <v>0.16969999999999999</v>
      </c>
      <c r="E50" s="382" t="str">
        <f ca="1">IF(B50="","",IF(ISNA(VLOOKUP($B50,'B-1 On-Site Hedge Baseline'!$B$1:$L$257,5,FALSE)),"",(VLOOKUP($B50,'B-1 On-Site Hedge Baseline'!$B$1:$L$257,5,FALSE))))</f>
        <v>Medium</v>
      </c>
      <c r="F50" s="382">
        <f ca="1">IF(B50="","",IF(ISNA(VLOOKUP($B50,'B-1 On-Site Hedge Baseline'!$B$1:$L$257,6,FALSE)),"",(VLOOKUP($B50,'B-1 On-Site Hedge Baseline'!$B$1:$L$257,6,FALSE))))</f>
        <v>4</v>
      </c>
      <c r="G50" s="382" t="str">
        <f ca="1">IF(B50="","",IF(ISNA(VLOOKUP($B50,'B-1 On-Site Hedge Baseline'!$B$1:$L$257,7,FALSE)),"",(VLOOKUP($B50,'B-1 On-Site Hedge Baseline'!$B$1:$L$257,7,FALSE))))</f>
        <v>Moderate</v>
      </c>
      <c r="H50" s="382">
        <f ca="1">IF(B50="","",IF(ISNA(VLOOKUP($B50,'B-1 On-Site Hedge Baseline'!$B$1:$L$257,8,FALSE)),"",(VLOOKUP($B50,'B-1 On-Site Hedge Baseline'!$B$1:$L$257,8,FALSE))))</f>
        <v>2</v>
      </c>
      <c r="I50" s="382" t="str">
        <f ca="1">IF(B50="","",IF(ISNA(VLOOKUP($B50,'B-1 On-Site Hedge Baseline'!$B$1:$L$257,10,FALSE)),"",(VLOOKUP($B50,'B-1 On-Site Hedge Baseline'!$B$1:$L$257,10,FALSE))))</f>
        <v>Low Strategic Significance</v>
      </c>
      <c r="J50" s="382">
        <f ca="1">IF(B50="","",IF(ISNA(VLOOKUP($B50,'B-1 On-Site Hedge Baseline'!$B$1:$L$257,11,FALSE)),"",(VLOOKUP($B50,'B-1 On-Site Hedge Baseline'!$B$1:$L$257,11,FALSE))))</f>
        <v>1</v>
      </c>
      <c r="K50" s="382">
        <f ca="1">IF(B50="","",IF(ISNA(VLOOKUP($B50,'B-1 On-Site Hedge Baseline'!$B$1:$U$257,13,FALSE)),"",(VLOOKUP($B50,'B-1 On-Site Hedge Baseline'!$B$1:$U$257,13,FALSE))))</f>
        <v>1.3575999999999999</v>
      </c>
      <c r="L50" s="386" t="str">
        <f ca="1">IF(B50="","",IF(ISNA(VLOOKUP($B50,'B-1 On-Site Hedge Baseline'!$B$1:$U$257,12,FALSE)),"",(VLOOKUP($B50,'B-1 On-Site Hedge Baseline'!$B$1:$U$257,12,FALSE))))</f>
        <v>Same distinctiveness band or better</v>
      </c>
      <c r="M50" s="315" t="str">
        <f t="shared" ca="1" si="1"/>
        <v>Species-rich native hedgerow</v>
      </c>
      <c r="N50" s="362" t="str">
        <f ca="1">IFERROR(IF(B50="","",INDEX('G-6 Hedgerow Data'!$AN$3:$AZ$15,MATCH(C50,'G-6 Hedgerow Data'!$AM$3:$AM$15,0),MATCH(M50,'G-6 Hedgerow Data'!$AN$2:$AZ$2,0))),"")</f>
        <v>Medium - Medium</v>
      </c>
      <c r="O50" s="363" t="str">
        <f t="shared" ca="1" si="2"/>
        <v>Moderate - Good</v>
      </c>
      <c r="P50" s="417">
        <f>IF(B50="","",VLOOKUP(B50,'B-1 On-Site Hedge Baseline'!$B$10:T295,16,FALSE))</f>
        <v>0.16969999999999999</v>
      </c>
      <c r="Q50" s="362" t="str">
        <f ca="1">IF(M50="","",VLOOKUP(M50,'G-6 Hedgerow Data'!$B$2:$AG$15,2,FALSE))</f>
        <v>Medium</v>
      </c>
      <c r="R50" s="363">
        <f ca="1">IF(M50="","",VLOOKUP(M50,'G-6 Hedgerow Data'!$B$2:$AG$15,3,FALSE))</f>
        <v>4</v>
      </c>
      <c r="S50" s="125" t="s">
        <v>68</v>
      </c>
      <c r="T50" s="401">
        <f>IFERROR(VLOOKUP(S50,'G-1 All Habitats'!$Z$2:$AA$9,2,FALSE),"")</f>
        <v>3</v>
      </c>
      <c r="U50" s="122" t="s">
        <v>1037</v>
      </c>
      <c r="V50" s="382" t="str">
        <f>IF(U50="","",IF(VLOOKUP(U50,'G-3 Multipliers'!$L$3:$N$6,2,FALSE)=0,"Spatial Data Missing ⚠",VLOOKUP(U50,'G-3 Multipliers'!$L$3:$N$6,2,FALSE)))</f>
        <v>Low Strategic Significance</v>
      </c>
      <c r="W50" s="386">
        <f>IF(U50="","",IF(VLOOKUP(U50,'G-3 Multipliers'!$L$3:$N$6,3,FALSE)=0,"Spatial Data Missing ⚠",VLOOKUP(U50,'G-3 Multipliers'!$L$3:$N$6,3,FALSE)))</f>
        <v>1</v>
      </c>
      <c r="X50" s="362">
        <f ca="1">IFERROR(IF(OR(LEFT(O50,5)="Error",LEFT(N50,5)="Error",T50="Error"),"Check Data ⚠",IF(F50&lt;R50,INDEX('G-6 Hedgerow Data'!$S$3:$AE$14,MATCH(C50,'G-6 Hedgerow Data'!$B$3:$B$14,0),MATCH(M50,'G-6 Hedgerow Data'!$S$2:$AE$2,0)),INDEX('G-6 Hedgerow Data'!$K$3:$Q$14,MATCH(M50,'G-6 Hedgerow Data'!$B$3:$B$14,0),MATCH(O50,'G-6 Hedgerow Data'!$K$2:$Q$2,0)))),"")</f>
        <v>2</v>
      </c>
      <c r="Y50" s="159"/>
      <c r="Z50" s="159"/>
      <c r="AA50" s="370" t="str">
        <f t="shared" ca="1" si="3"/>
        <v>Standard time to target condition applied</v>
      </c>
      <c r="AB50" s="383">
        <f t="shared" ca="1" si="4"/>
        <v>2</v>
      </c>
      <c r="AC50" s="384">
        <f t="shared" ca="1" si="0"/>
        <v>0.93122499999999997</v>
      </c>
      <c r="AD50" s="398" t="str">
        <f ca="1">IF(M50="","",VLOOKUP(M50,'G-6 Hedgerow Data'!$B$3:$AG$15,31,FALSE))</f>
        <v>Low</v>
      </c>
      <c r="AE50" s="370" t="str">
        <f t="shared" ca="1" si="5"/>
        <v>Standard difficulty applied</v>
      </c>
      <c r="AF50" s="370" t="str">
        <f t="shared" ca="1" si="6"/>
        <v>Low</v>
      </c>
      <c r="AG50" s="386">
        <f ca="1">IFERROR(IF(O50="","",VLOOKUP(AD50,'G-3 Multipliers'!$P$3:$Q$6,2,FALSE)),"")</f>
        <v>1</v>
      </c>
      <c r="AH50" s="376">
        <f t="shared" ca="1" si="7"/>
        <v>1.98971553</v>
      </c>
      <c r="AI50" s="188"/>
      <c r="AJ50" s="118"/>
      <c r="AK50" s="120"/>
      <c r="AT50" s="30" t="str">
        <f ca="1">IFERROR(INDEX('G-6 Hedgerow Data'!$BJ$3:$BJ$15,MATCH(M50,'G-6 Hedgerow Data'!$B$3:$B$15,0)),"")</f>
        <v>Hedgecond1</v>
      </c>
    </row>
    <row r="51" spans="2:46" ht="28.5" x14ac:dyDescent="0.2">
      <c r="B51" s="392">
        <f>'B-1 On-Site Hedge Baseline'!AK49</f>
        <v>108</v>
      </c>
      <c r="C51" s="382" t="str">
        <f ca="1">IF(B51="","",IF(ISNA(VLOOKUP($B51,'B-1 On-Site Hedge Baseline'!$B$1:$L$257,3,FALSE)),"",(VLOOKUP($B51,'B-1 On-Site Hedge Baseline'!$B$1:$L$257,3,FALSE))))</f>
        <v>Native hedgerow</v>
      </c>
      <c r="D51" s="382">
        <f ca="1">IF(B51="","",IF(ISNA(VLOOKUP($B51,'B-1 On-Site Hedge Baseline'!$B$1:$L$257,4,FALSE)),"",(VLOOKUP($B51,'B-1 On-Site Hedge Baseline'!$B$1:$L$257,4,FALSE))))</f>
        <v>0.30380000000000001</v>
      </c>
      <c r="E51" s="382" t="str">
        <f ca="1">IF(B51="","",IF(ISNA(VLOOKUP($B51,'B-1 On-Site Hedge Baseline'!$B$1:$L$257,5,FALSE)),"",(VLOOKUP($B51,'B-1 On-Site Hedge Baseline'!$B$1:$L$257,5,FALSE))))</f>
        <v>Low</v>
      </c>
      <c r="F51" s="382">
        <f ca="1">IF(B51="","",IF(ISNA(VLOOKUP($B51,'B-1 On-Site Hedge Baseline'!$B$1:$L$257,6,FALSE)),"",(VLOOKUP($B51,'B-1 On-Site Hedge Baseline'!$B$1:$L$257,6,FALSE))))</f>
        <v>2</v>
      </c>
      <c r="G51" s="382" t="str">
        <f ca="1">IF(B51="","",IF(ISNA(VLOOKUP($B51,'B-1 On-Site Hedge Baseline'!$B$1:$L$257,7,FALSE)),"",(VLOOKUP($B51,'B-1 On-Site Hedge Baseline'!$B$1:$L$257,7,FALSE))))</f>
        <v>Poor</v>
      </c>
      <c r="H51" s="382">
        <f ca="1">IF(B51="","",IF(ISNA(VLOOKUP($B51,'B-1 On-Site Hedge Baseline'!$B$1:$L$257,8,FALSE)),"",(VLOOKUP($B51,'B-1 On-Site Hedge Baseline'!$B$1:$L$257,8,FALSE))))</f>
        <v>1</v>
      </c>
      <c r="I51" s="382" t="str">
        <f ca="1">IF(B51="","",IF(ISNA(VLOOKUP($B51,'B-1 On-Site Hedge Baseline'!$B$1:$L$257,10,FALSE)),"",(VLOOKUP($B51,'B-1 On-Site Hedge Baseline'!$B$1:$L$257,10,FALSE))))</f>
        <v>Low Strategic Significance</v>
      </c>
      <c r="J51" s="382">
        <f ca="1">IF(B51="","",IF(ISNA(VLOOKUP($B51,'B-1 On-Site Hedge Baseline'!$B$1:$L$257,11,FALSE)),"",(VLOOKUP($B51,'B-1 On-Site Hedge Baseline'!$B$1:$L$257,11,FALSE))))</f>
        <v>1</v>
      </c>
      <c r="K51" s="382">
        <f ca="1">IF(B51="","",IF(ISNA(VLOOKUP($B51,'B-1 On-Site Hedge Baseline'!$B$1:$U$257,13,FALSE)),"",(VLOOKUP($B51,'B-1 On-Site Hedge Baseline'!$B$1:$U$257,13,FALSE))))</f>
        <v>0.60760000000000003</v>
      </c>
      <c r="L51" s="386" t="str">
        <f ca="1">IF(B51="","",IF(ISNA(VLOOKUP($B51,'B-1 On-Site Hedge Baseline'!$B$1:$U$257,12,FALSE)),"",(VLOOKUP($B51,'B-1 On-Site Hedge Baseline'!$B$1:$U$257,12,FALSE))))</f>
        <v>Same distinctiveness band or better</v>
      </c>
      <c r="M51" s="315" t="s">
        <v>168</v>
      </c>
      <c r="N51" s="362" t="str">
        <f ca="1">IFERROR(IF(B51="","",INDEX('G-6 Hedgerow Data'!$AN$3:$AZ$15,MATCH(C51,'G-6 Hedgerow Data'!$AM$3:$AM$15,0),MATCH(M51,'G-6 Hedgerow Data'!$AN$2:$AZ$2,0))),"")</f>
        <v>Low - High</v>
      </c>
      <c r="O51" s="363" t="str">
        <f t="shared" ca="1" si="2"/>
        <v>Lower Distinctiveness Habitat - Good</v>
      </c>
      <c r="P51" s="417">
        <f>IF(B51="","",VLOOKUP(B51,'B-1 On-Site Hedge Baseline'!$B$10:T296,16,FALSE))</f>
        <v>0.30380000000000001</v>
      </c>
      <c r="Q51" s="362" t="str">
        <f>IF(M51="","",VLOOKUP(M51,'G-6 Hedgerow Data'!$B$2:$AG$15,2,FALSE))</f>
        <v>High</v>
      </c>
      <c r="R51" s="363">
        <f>IF(M51="","",VLOOKUP(M51,'G-6 Hedgerow Data'!$B$2:$AG$15,3,FALSE))</f>
        <v>6</v>
      </c>
      <c r="S51" s="125" t="s">
        <v>68</v>
      </c>
      <c r="T51" s="401">
        <f>IFERROR(VLOOKUP(S51,'G-1 All Habitats'!$Z$2:$AA$9,2,FALSE),"")</f>
        <v>3</v>
      </c>
      <c r="U51" s="122" t="s">
        <v>1037</v>
      </c>
      <c r="V51" s="382" t="str">
        <f>IF(U51="","",IF(VLOOKUP(U51,'G-3 Multipliers'!$L$3:$N$6,2,FALSE)=0,"Spatial Data Missing ⚠",VLOOKUP(U51,'G-3 Multipliers'!$L$3:$N$6,2,FALSE)))</f>
        <v>Low Strategic Significance</v>
      </c>
      <c r="W51" s="386">
        <f>IF(U51="","",IF(VLOOKUP(U51,'G-3 Multipliers'!$L$3:$N$6,3,FALSE)=0,"Spatial Data Missing ⚠",VLOOKUP(U51,'G-3 Multipliers'!$L$3:$N$6,3,FALSE)))</f>
        <v>1</v>
      </c>
      <c r="X51" s="362">
        <f ca="1">IFERROR(IF(OR(LEFT(O51,5)="Error",LEFT(N51,5)="Error",T51="Error"),"Check Data ⚠",IF(F51&lt;R51,INDEX('G-6 Hedgerow Data'!$S$3:$AE$14,MATCH(C51,'G-6 Hedgerow Data'!$B$3:$B$14,0),MATCH(M51,'G-6 Hedgerow Data'!$S$2:$AE$2,0)),INDEX('G-6 Hedgerow Data'!$K$3:$Q$14,MATCH(M51,'G-6 Hedgerow Data'!$B$3:$B$14,0),MATCH(O51,'G-6 Hedgerow Data'!$K$2:$Q$2,0)))),"")</f>
        <v>10</v>
      </c>
      <c r="Y51" s="159"/>
      <c r="Z51" s="159"/>
      <c r="AA51" s="370" t="str">
        <f t="shared" ca="1" si="3"/>
        <v>Standard time to target condition applied</v>
      </c>
      <c r="AB51" s="383">
        <f t="shared" ca="1" si="4"/>
        <v>10</v>
      </c>
      <c r="AC51" s="384">
        <f t="shared" ca="1" si="0"/>
        <v>0.70028227419999989</v>
      </c>
      <c r="AD51" s="398" t="str">
        <f>IF(M51="","",VLOOKUP(M51,'G-6 Hedgerow Data'!$B$3:$AG$15,31,FALSE))</f>
        <v>Low</v>
      </c>
      <c r="AE51" s="370" t="str">
        <f t="shared" ca="1" si="5"/>
        <v>Standard difficulty applied</v>
      </c>
      <c r="AF51" s="370" t="str">
        <f t="shared" ca="1" si="6"/>
        <v>Low</v>
      </c>
      <c r="AG51" s="386">
        <f ca="1">IFERROR(IF(O51="","",VLOOKUP(AD51,'G-3 Multipliers'!$P$3:$Q$6,2,FALSE)),"")</f>
        <v>1</v>
      </c>
      <c r="AH51" s="376">
        <f t="shared" ca="1" si="7"/>
        <v>4.0115320784313599</v>
      </c>
      <c r="AI51" s="188"/>
      <c r="AJ51" s="118"/>
      <c r="AK51" s="120"/>
      <c r="AT51" s="30" t="str">
        <f>IFERROR(INDEX('G-6 Hedgerow Data'!$BJ$3:$BJ$15,MATCH(M51,'G-6 Hedgerow Data'!$B$3:$B$15,0)),"")</f>
        <v>Hedgecond1</v>
      </c>
    </row>
    <row r="52" spans="2:46" ht="28.5" x14ac:dyDescent="0.2">
      <c r="B52" s="392">
        <f>'B-1 On-Site Hedge Baseline'!AK50</f>
        <v>110</v>
      </c>
      <c r="C52" s="382" t="str">
        <f ca="1">IF(B52="","",IF(ISNA(VLOOKUP($B52,'B-1 On-Site Hedge Baseline'!$B$1:$L$257,3,FALSE)),"",(VLOOKUP($B52,'B-1 On-Site Hedge Baseline'!$B$1:$L$257,3,FALSE))))</f>
        <v>Native hedgerow</v>
      </c>
      <c r="D52" s="382">
        <f ca="1">IF(B52="","",IF(ISNA(VLOOKUP($B52,'B-1 On-Site Hedge Baseline'!$B$1:$L$257,4,FALSE)),"",(VLOOKUP($B52,'B-1 On-Site Hedge Baseline'!$B$1:$L$257,4,FALSE))))</f>
        <v>8.2600000000000007E-2</v>
      </c>
      <c r="E52" s="382" t="str">
        <f ca="1">IF(B52="","",IF(ISNA(VLOOKUP($B52,'B-1 On-Site Hedge Baseline'!$B$1:$L$257,5,FALSE)),"",(VLOOKUP($B52,'B-1 On-Site Hedge Baseline'!$B$1:$L$257,5,FALSE))))</f>
        <v>Low</v>
      </c>
      <c r="F52" s="382">
        <f ca="1">IF(B52="","",IF(ISNA(VLOOKUP($B52,'B-1 On-Site Hedge Baseline'!$B$1:$L$257,6,FALSE)),"",(VLOOKUP($B52,'B-1 On-Site Hedge Baseline'!$B$1:$L$257,6,FALSE))))</f>
        <v>2</v>
      </c>
      <c r="G52" s="382" t="str">
        <f ca="1">IF(B52="","",IF(ISNA(VLOOKUP($B52,'B-1 On-Site Hedge Baseline'!$B$1:$L$257,7,FALSE)),"",(VLOOKUP($B52,'B-1 On-Site Hedge Baseline'!$B$1:$L$257,7,FALSE))))</f>
        <v>Moderate</v>
      </c>
      <c r="H52" s="382">
        <f ca="1">IF(B52="","",IF(ISNA(VLOOKUP($B52,'B-1 On-Site Hedge Baseline'!$B$1:$L$257,8,FALSE)),"",(VLOOKUP($B52,'B-1 On-Site Hedge Baseline'!$B$1:$L$257,8,FALSE))))</f>
        <v>2</v>
      </c>
      <c r="I52" s="382" t="str">
        <f ca="1">IF(B52="","",IF(ISNA(VLOOKUP($B52,'B-1 On-Site Hedge Baseline'!$B$1:$L$257,10,FALSE)),"",(VLOOKUP($B52,'B-1 On-Site Hedge Baseline'!$B$1:$L$257,10,FALSE))))</f>
        <v>Low Strategic Significance</v>
      </c>
      <c r="J52" s="382">
        <f ca="1">IF(B52="","",IF(ISNA(VLOOKUP($B52,'B-1 On-Site Hedge Baseline'!$B$1:$L$257,11,FALSE)),"",(VLOOKUP($B52,'B-1 On-Site Hedge Baseline'!$B$1:$L$257,11,FALSE))))</f>
        <v>1</v>
      </c>
      <c r="K52" s="382">
        <f ca="1">IF(B52="","",IF(ISNA(VLOOKUP($B52,'B-1 On-Site Hedge Baseline'!$B$1:$U$257,13,FALSE)),"",(VLOOKUP($B52,'B-1 On-Site Hedge Baseline'!$B$1:$U$257,13,FALSE))))</f>
        <v>0.33040000000000003</v>
      </c>
      <c r="L52" s="386" t="str">
        <f ca="1">IF(B52="","",IF(ISNA(VLOOKUP($B52,'B-1 On-Site Hedge Baseline'!$B$1:$U$257,12,FALSE)),"",(VLOOKUP($B52,'B-1 On-Site Hedge Baseline'!$B$1:$U$257,12,FALSE))))</f>
        <v>Same distinctiveness band or better</v>
      </c>
      <c r="M52" s="315" t="s">
        <v>168</v>
      </c>
      <c r="N52" s="362" t="str">
        <f ca="1">IFERROR(IF(B52="","",INDEX('G-6 Hedgerow Data'!$AN$3:$AZ$15,MATCH(C52,'G-6 Hedgerow Data'!$AM$3:$AM$15,0),MATCH(M52,'G-6 Hedgerow Data'!$AN$2:$AZ$2,0))),"")</f>
        <v>Low - High</v>
      </c>
      <c r="O52" s="363" t="str">
        <f t="shared" ca="1" si="2"/>
        <v>Lower Distinctiveness Habitat - Good</v>
      </c>
      <c r="P52" s="417">
        <f>IF(B52="","",VLOOKUP(B52,'B-1 On-Site Hedge Baseline'!$B$10:T297,16,FALSE))</f>
        <v>8.2600000000000007E-2</v>
      </c>
      <c r="Q52" s="362" t="str">
        <f>IF(M52="","",VLOOKUP(M52,'G-6 Hedgerow Data'!$B$2:$AG$15,2,FALSE))</f>
        <v>High</v>
      </c>
      <c r="R52" s="363">
        <f>IF(M52="","",VLOOKUP(M52,'G-6 Hedgerow Data'!$B$2:$AG$15,3,FALSE))</f>
        <v>6</v>
      </c>
      <c r="S52" s="125" t="s">
        <v>68</v>
      </c>
      <c r="T52" s="401">
        <f>IFERROR(VLOOKUP(S52,'G-1 All Habitats'!$Z$2:$AA$9,2,FALSE),"")</f>
        <v>3</v>
      </c>
      <c r="U52" s="122" t="s">
        <v>1037</v>
      </c>
      <c r="V52" s="382" t="str">
        <f>IF(U52="","",IF(VLOOKUP(U52,'G-3 Multipliers'!$L$3:$N$6,2,FALSE)=0,"Spatial Data Missing ⚠",VLOOKUP(U52,'G-3 Multipliers'!$L$3:$N$6,2,FALSE)))</f>
        <v>Low Strategic Significance</v>
      </c>
      <c r="W52" s="386">
        <f>IF(U52="","",IF(VLOOKUP(U52,'G-3 Multipliers'!$L$3:$N$6,3,FALSE)=0,"Spatial Data Missing ⚠",VLOOKUP(U52,'G-3 Multipliers'!$L$3:$N$6,3,FALSE)))</f>
        <v>1</v>
      </c>
      <c r="X52" s="362">
        <f ca="1">IFERROR(IF(OR(LEFT(O52,5)="Error",LEFT(N52,5)="Error",T52="Error"),"Check Data ⚠",IF(F52&lt;R52,INDEX('G-6 Hedgerow Data'!$S$3:$AE$14,MATCH(C52,'G-6 Hedgerow Data'!$B$3:$B$14,0),MATCH(M52,'G-6 Hedgerow Data'!$S$2:$AE$2,0)),INDEX('G-6 Hedgerow Data'!$K$3:$Q$14,MATCH(M52,'G-6 Hedgerow Data'!$B$3:$B$14,0),MATCH(O52,'G-6 Hedgerow Data'!$K$2:$Q$2,0)))),"")</f>
        <v>10</v>
      </c>
      <c r="Y52" s="159"/>
      <c r="Z52" s="159"/>
      <c r="AA52" s="370" t="str">
        <f t="shared" ca="1" si="3"/>
        <v>Standard time to target condition applied</v>
      </c>
      <c r="AB52" s="383">
        <f t="shared" ca="1" si="4"/>
        <v>10</v>
      </c>
      <c r="AC52" s="384">
        <f t="shared" ca="1" si="0"/>
        <v>0.70028227419999989</v>
      </c>
      <c r="AD52" s="398" t="str">
        <f>IF(M52="","",VLOOKUP(M52,'G-6 Hedgerow Data'!$B$3:$AG$15,31,FALSE))</f>
        <v>Low</v>
      </c>
      <c r="AE52" s="370" t="str">
        <f t="shared" ca="1" si="5"/>
        <v>Standard difficulty applied</v>
      </c>
      <c r="AF52" s="370" t="str">
        <f t="shared" ca="1" si="6"/>
        <v>Low</v>
      </c>
      <c r="AG52" s="386">
        <f ca="1">IFERROR(IF(O52="","",VLOOKUP(AD52,'G-3 Multipliers'!$P$3:$Q$6,2,FALSE)),"")</f>
        <v>1</v>
      </c>
      <c r="AH52" s="376">
        <f t="shared" ca="1" si="7"/>
        <v>1.14020642188488</v>
      </c>
      <c r="AI52" s="188"/>
      <c r="AJ52" s="118"/>
      <c r="AK52" s="120"/>
      <c r="AT52" s="30" t="str">
        <f>IFERROR(INDEX('G-6 Hedgerow Data'!$BJ$3:$BJ$15,MATCH(M52,'G-6 Hedgerow Data'!$B$3:$B$15,0)),"")</f>
        <v>Hedgecond1</v>
      </c>
    </row>
    <row r="53" spans="2:46" ht="28.5" x14ac:dyDescent="0.2">
      <c r="B53" s="392">
        <f>'B-1 On-Site Hedge Baseline'!AK51</f>
        <v>111</v>
      </c>
      <c r="C53" s="382" t="str">
        <f ca="1">IF(B53="","",IF(ISNA(VLOOKUP($B53,'B-1 On-Site Hedge Baseline'!$B$1:$L$257,3,FALSE)),"",(VLOOKUP($B53,'B-1 On-Site Hedge Baseline'!$B$1:$L$257,3,FALSE))))</f>
        <v>Native hedgerow</v>
      </c>
      <c r="D53" s="382">
        <f ca="1">IF(B53="","",IF(ISNA(VLOOKUP($B53,'B-1 On-Site Hedge Baseline'!$B$1:$L$257,4,FALSE)),"",(VLOOKUP($B53,'B-1 On-Site Hedge Baseline'!$B$1:$L$257,4,FALSE))))</f>
        <v>6.1899999999999997E-2</v>
      </c>
      <c r="E53" s="382" t="str">
        <f ca="1">IF(B53="","",IF(ISNA(VLOOKUP($B53,'B-1 On-Site Hedge Baseline'!$B$1:$L$257,5,FALSE)),"",(VLOOKUP($B53,'B-1 On-Site Hedge Baseline'!$B$1:$L$257,5,FALSE))))</f>
        <v>Low</v>
      </c>
      <c r="F53" s="382">
        <f ca="1">IF(B53="","",IF(ISNA(VLOOKUP($B53,'B-1 On-Site Hedge Baseline'!$B$1:$L$257,6,FALSE)),"",(VLOOKUP($B53,'B-1 On-Site Hedge Baseline'!$B$1:$L$257,6,FALSE))))</f>
        <v>2</v>
      </c>
      <c r="G53" s="382" t="str">
        <f ca="1">IF(B53="","",IF(ISNA(VLOOKUP($B53,'B-1 On-Site Hedge Baseline'!$B$1:$L$257,7,FALSE)),"",(VLOOKUP($B53,'B-1 On-Site Hedge Baseline'!$B$1:$L$257,7,FALSE))))</f>
        <v>Poor</v>
      </c>
      <c r="H53" s="382">
        <f ca="1">IF(B53="","",IF(ISNA(VLOOKUP($B53,'B-1 On-Site Hedge Baseline'!$B$1:$L$257,8,FALSE)),"",(VLOOKUP($B53,'B-1 On-Site Hedge Baseline'!$B$1:$L$257,8,FALSE))))</f>
        <v>1</v>
      </c>
      <c r="I53" s="382" t="str">
        <f ca="1">IF(B53="","",IF(ISNA(VLOOKUP($B53,'B-1 On-Site Hedge Baseline'!$B$1:$L$257,10,FALSE)),"",(VLOOKUP($B53,'B-1 On-Site Hedge Baseline'!$B$1:$L$257,10,FALSE))))</f>
        <v>Low Strategic Significance</v>
      </c>
      <c r="J53" s="382">
        <f ca="1">IF(B53="","",IF(ISNA(VLOOKUP($B53,'B-1 On-Site Hedge Baseline'!$B$1:$L$257,11,FALSE)),"",(VLOOKUP($B53,'B-1 On-Site Hedge Baseline'!$B$1:$L$257,11,FALSE))))</f>
        <v>1</v>
      </c>
      <c r="K53" s="382">
        <f ca="1">IF(B53="","",IF(ISNA(VLOOKUP($B53,'B-1 On-Site Hedge Baseline'!$B$1:$U$257,13,FALSE)),"",(VLOOKUP($B53,'B-1 On-Site Hedge Baseline'!$B$1:$U$257,13,FALSE))))</f>
        <v>0.12379999999999999</v>
      </c>
      <c r="L53" s="386" t="str">
        <f ca="1">IF(B53="","",IF(ISNA(VLOOKUP($B53,'B-1 On-Site Hedge Baseline'!$B$1:$U$257,12,FALSE)),"",(VLOOKUP($B53,'B-1 On-Site Hedge Baseline'!$B$1:$U$257,12,FALSE))))</f>
        <v>Same distinctiveness band or better</v>
      </c>
      <c r="M53" s="315" t="s">
        <v>171</v>
      </c>
      <c r="N53" s="362" t="str">
        <f ca="1">IFERROR(IF(B53="","",INDEX('G-6 Hedgerow Data'!$AN$3:$AZ$15,MATCH(C53,'G-6 Hedgerow Data'!$AM$3:$AM$15,0),MATCH(M53,'G-6 Hedgerow Data'!$AN$2:$AZ$2,0))),"")</f>
        <v>Low - Medium</v>
      </c>
      <c r="O53" s="363" t="str">
        <f t="shared" ca="1" si="2"/>
        <v>Lower Distinctiveness Habitat - Good</v>
      </c>
      <c r="P53" s="417">
        <f>IF(B53="","",VLOOKUP(B53,'B-1 On-Site Hedge Baseline'!$B$10:T298,16,FALSE))</f>
        <v>6.1899999999999997E-2</v>
      </c>
      <c r="Q53" s="362" t="str">
        <f>IF(M53="","",VLOOKUP(M53,'G-6 Hedgerow Data'!$B$2:$AG$15,2,FALSE))</f>
        <v>Medium</v>
      </c>
      <c r="R53" s="363">
        <f>IF(M53="","",VLOOKUP(M53,'G-6 Hedgerow Data'!$B$2:$AG$15,3,FALSE))</f>
        <v>4</v>
      </c>
      <c r="S53" s="125" t="s">
        <v>68</v>
      </c>
      <c r="T53" s="401">
        <f>IFERROR(VLOOKUP(S53,'G-1 All Habitats'!$Z$2:$AA$9,2,FALSE),"")</f>
        <v>3</v>
      </c>
      <c r="U53" s="122" t="s">
        <v>1037</v>
      </c>
      <c r="V53" s="382" t="str">
        <f>IF(U53="","",IF(VLOOKUP(U53,'G-3 Multipliers'!$L$3:$N$6,2,FALSE)=0,"Spatial Data Missing ⚠",VLOOKUP(U53,'G-3 Multipliers'!$L$3:$N$6,2,FALSE)))</f>
        <v>Low Strategic Significance</v>
      </c>
      <c r="W53" s="386">
        <f>IF(U53="","",IF(VLOOKUP(U53,'G-3 Multipliers'!$L$3:$N$6,3,FALSE)=0,"Spatial Data Missing ⚠",VLOOKUP(U53,'G-3 Multipliers'!$L$3:$N$6,3,FALSE)))</f>
        <v>1</v>
      </c>
      <c r="X53" s="362">
        <f ca="1">IFERROR(IF(OR(LEFT(O53,5)="Error",LEFT(N53,5)="Error",T53="Error"),"Check Data ⚠",IF(F53&lt;R53,INDEX('G-6 Hedgerow Data'!$S$3:$AE$14,MATCH(C53,'G-6 Hedgerow Data'!$B$3:$B$14,0),MATCH(M53,'G-6 Hedgerow Data'!$S$2:$AE$2,0)),INDEX('G-6 Hedgerow Data'!$K$3:$Q$14,MATCH(M53,'G-6 Hedgerow Data'!$B$3:$B$14,0),MATCH(O53,'G-6 Hedgerow Data'!$K$2:$Q$2,0)))),"")</f>
        <v>5</v>
      </c>
      <c r="Y53" s="159"/>
      <c r="Z53" s="159"/>
      <c r="AA53" s="370" t="str">
        <f t="shared" ca="1" si="3"/>
        <v>Standard time to target condition applied</v>
      </c>
      <c r="AB53" s="383">
        <f t="shared" ca="1" si="4"/>
        <v>5</v>
      </c>
      <c r="AC53" s="384">
        <f t="shared" ca="1" si="0"/>
        <v>0.83682870060000003</v>
      </c>
      <c r="AD53" s="398" t="str">
        <f>IF(M53="","",VLOOKUP(M53,'G-6 Hedgerow Data'!$B$3:$AG$15,31,FALSE))</f>
        <v>Low</v>
      </c>
      <c r="AE53" s="370" t="str">
        <f t="shared" ca="1" si="5"/>
        <v>Standard difficulty applied</v>
      </c>
      <c r="AF53" s="370" t="str">
        <f t="shared" ca="1" si="6"/>
        <v>Low</v>
      </c>
      <c r="AG53" s="386">
        <f ca="1">IFERROR(IF(O53="","",VLOOKUP(AD53,'G-3 Multipliers'!$P$3:$Q$6,2,FALSE)),"")</f>
        <v>1</v>
      </c>
      <c r="AH53" s="376">
        <f t="shared" ca="1" si="7"/>
        <v>0.64179696567139999</v>
      </c>
      <c r="AI53" s="188"/>
      <c r="AJ53" s="118"/>
      <c r="AK53" s="120"/>
      <c r="AT53" s="30" t="str">
        <f>IFERROR(INDEX('G-6 Hedgerow Data'!$BJ$3:$BJ$15,MATCH(M53,'G-6 Hedgerow Data'!$B$3:$B$15,0)),"")</f>
        <v>Hedgecond1</v>
      </c>
    </row>
    <row r="54" spans="2:46" ht="28.5" x14ac:dyDescent="0.2">
      <c r="B54" s="392">
        <f>'B-1 On-Site Hedge Baseline'!AK52</f>
        <v>115</v>
      </c>
      <c r="C54" s="382" t="str">
        <f ca="1">IF(B54="","",IF(ISNA(VLOOKUP($B54,'B-1 On-Site Hedge Baseline'!$B$1:$L$257,3,FALSE)),"",(VLOOKUP($B54,'B-1 On-Site Hedge Baseline'!$B$1:$L$257,3,FALSE))))</f>
        <v>Native hedgerow</v>
      </c>
      <c r="D54" s="382">
        <f ca="1">IF(B54="","",IF(ISNA(VLOOKUP($B54,'B-1 On-Site Hedge Baseline'!$B$1:$L$257,4,FALSE)),"",(VLOOKUP($B54,'B-1 On-Site Hedge Baseline'!$B$1:$L$257,4,FALSE))))</f>
        <v>3.0700000000000002E-2</v>
      </c>
      <c r="E54" s="382" t="str">
        <f ca="1">IF(B54="","",IF(ISNA(VLOOKUP($B54,'B-1 On-Site Hedge Baseline'!$B$1:$L$257,5,FALSE)),"",(VLOOKUP($B54,'B-1 On-Site Hedge Baseline'!$B$1:$L$257,5,FALSE))))</f>
        <v>Low</v>
      </c>
      <c r="F54" s="382">
        <f ca="1">IF(B54="","",IF(ISNA(VLOOKUP($B54,'B-1 On-Site Hedge Baseline'!$B$1:$L$257,6,FALSE)),"",(VLOOKUP($B54,'B-1 On-Site Hedge Baseline'!$B$1:$L$257,6,FALSE))))</f>
        <v>2</v>
      </c>
      <c r="G54" s="382" t="str">
        <f ca="1">IF(B54="","",IF(ISNA(VLOOKUP($B54,'B-1 On-Site Hedge Baseline'!$B$1:$L$257,7,FALSE)),"",(VLOOKUP($B54,'B-1 On-Site Hedge Baseline'!$B$1:$L$257,7,FALSE))))</f>
        <v>Moderate</v>
      </c>
      <c r="H54" s="382">
        <f ca="1">IF(B54="","",IF(ISNA(VLOOKUP($B54,'B-1 On-Site Hedge Baseline'!$B$1:$L$257,8,FALSE)),"",(VLOOKUP($B54,'B-1 On-Site Hedge Baseline'!$B$1:$L$257,8,FALSE))))</f>
        <v>2</v>
      </c>
      <c r="I54" s="382" t="str">
        <f ca="1">IF(B54="","",IF(ISNA(VLOOKUP($B54,'B-1 On-Site Hedge Baseline'!$B$1:$L$257,10,FALSE)),"",(VLOOKUP($B54,'B-1 On-Site Hedge Baseline'!$B$1:$L$257,10,FALSE))))</f>
        <v xml:space="preserve">High strategic significance </v>
      </c>
      <c r="J54" s="382">
        <f ca="1">IF(B54="","",IF(ISNA(VLOOKUP($B54,'B-1 On-Site Hedge Baseline'!$B$1:$L$257,11,FALSE)),"",(VLOOKUP($B54,'B-1 On-Site Hedge Baseline'!$B$1:$L$257,11,FALSE))))</f>
        <v>1.1499999999999999</v>
      </c>
      <c r="K54" s="382">
        <f ca="1">IF(B54="","",IF(ISNA(VLOOKUP($B54,'B-1 On-Site Hedge Baseline'!$B$1:$U$257,13,FALSE)),"",(VLOOKUP($B54,'B-1 On-Site Hedge Baseline'!$B$1:$U$257,13,FALSE))))</f>
        <v>0.14121999999999998</v>
      </c>
      <c r="L54" s="386" t="str">
        <f ca="1">IF(B54="","",IF(ISNA(VLOOKUP($B54,'B-1 On-Site Hedge Baseline'!$B$1:$U$257,12,FALSE)),"",(VLOOKUP($B54,'B-1 On-Site Hedge Baseline'!$B$1:$U$257,12,FALSE))))</f>
        <v>Same distinctiveness band or better</v>
      </c>
      <c r="M54" s="315" t="s">
        <v>171</v>
      </c>
      <c r="N54" s="362" t="str">
        <f ca="1">IFERROR(IF(B54="","",INDEX('G-6 Hedgerow Data'!$AN$3:$AZ$15,MATCH(C54,'G-6 Hedgerow Data'!$AM$3:$AM$15,0),MATCH(M54,'G-6 Hedgerow Data'!$AN$2:$AZ$2,0))),"")</f>
        <v>Low - Medium</v>
      </c>
      <c r="O54" s="363" t="str">
        <f t="shared" ca="1" si="2"/>
        <v>Lower Distinctiveness Habitat - Good</v>
      </c>
      <c r="P54" s="417">
        <f>IF(B54="","",VLOOKUP(B54,'B-1 On-Site Hedge Baseline'!$B$10:T299,16,FALSE))</f>
        <v>3.0700000000000002E-2</v>
      </c>
      <c r="Q54" s="362" t="str">
        <f>IF(M54="","",VLOOKUP(M54,'G-6 Hedgerow Data'!$B$2:$AG$15,2,FALSE))</f>
        <v>Medium</v>
      </c>
      <c r="R54" s="363">
        <f>IF(M54="","",VLOOKUP(M54,'G-6 Hedgerow Data'!$B$2:$AG$15,3,FALSE))</f>
        <v>4</v>
      </c>
      <c r="S54" s="125" t="s">
        <v>68</v>
      </c>
      <c r="T54" s="401">
        <f>IFERROR(VLOOKUP(S54,'G-1 All Habitats'!$Z$2:$AA$9,2,FALSE),"")</f>
        <v>3</v>
      </c>
      <c r="U54" s="122" t="s">
        <v>1029</v>
      </c>
      <c r="V54" s="382" t="str">
        <f>IF(U54="","",IF(VLOOKUP(U54,'G-3 Multipliers'!$L$3:$N$6,2,FALSE)=0,"Spatial Data Missing ⚠",VLOOKUP(U54,'G-3 Multipliers'!$L$3:$N$6,2,FALSE)))</f>
        <v xml:space="preserve">High strategic significance </v>
      </c>
      <c r="W54" s="386">
        <f>IF(U54="","",IF(VLOOKUP(U54,'G-3 Multipliers'!$L$3:$N$6,3,FALSE)=0,"Spatial Data Missing ⚠",VLOOKUP(U54,'G-3 Multipliers'!$L$3:$N$6,3,FALSE)))</f>
        <v>1.1499999999999999</v>
      </c>
      <c r="X54" s="362">
        <f ca="1">IFERROR(IF(OR(LEFT(O54,5)="Error",LEFT(N54,5)="Error",T54="Error"),"Check Data ⚠",IF(F54&lt;R54,INDEX('G-6 Hedgerow Data'!$S$3:$AE$14,MATCH(C54,'G-6 Hedgerow Data'!$B$3:$B$14,0),MATCH(M54,'G-6 Hedgerow Data'!$S$2:$AE$2,0)),INDEX('G-6 Hedgerow Data'!$K$3:$Q$14,MATCH(M54,'G-6 Hedgerow Data'!$B$3:$B$14,0),MATCH(O54,'G-6 Hedgerow Data'!$K$2:$Q$2,0)))),"")</f>
        <v>5</v>
      </c>
      <c r="Y54" s="159"/>
      <c r="Z54" s="159"/>
      <c r="AA54" s="370" t="str">
        <f t="shared" ca="1" si="3"/>
        <v>Standard time to target condition applied</v>
      </c>
      <c r="AB54" s="383">
        <f t="shared" ca="1" si="4"/>
        <v>5</v>
      </c>
      <c r="AC54" s="384">
        <f t="shared" ca="1" si="0"/>
        <v>0.83682870060000003</v>
      </c>
      <c r="AD54" s="398" t="str">
        <f>IF(M54="","",VLOOKUP(M54,'G-6 Hedgerow Data'!$B$3:$AG$15,31,FALSE))</f>
        <v>Low</v>
      </c>
      <c r="AE54" s="370" t="str">
        <f t="shared" ca="1" si="5"/>
        <v>Standard difficulty applied</v>
      </c>
      <c r="AF54" s="370" t="str">
        <f t="shared" ca="1" si="6"/>
        <v>Low</v>
      </c>
      <c r="AG54" s="386">
        <f ca="1">IFERROR(IF(O54="","",VLOOKUP(AD54,'G-3 Multipliers'!$P$3:$Q$6,2,FALSE)),"")</f>
        <v>1</v>
      </c>
      <c r="AH54" s="376">
        <f t="shared" ca="1" si="7"/>
        <v>0.37757389819746395</v>
      </c>
      <c r="AI54" s="188"/>
      <c r="AJ54" s="118"/>
      <c r="AK54" s="120"/>
      <c r="AT54" s="30" t="str">
        <f>IFERROR(INDEX('G-6 Hedgerow Data'!$BJ$3:$BJ$15,MATCH(M54,'G-6 Hedgerow Data'!$B$3:$B$15,0)),"")</f>
        <v>Hedgecond1</v>
      </c>
    </row>
    <row r="55" spans="2:46" ht="28.5" x14ac:dyDescent="0.2">
      <c r="B55" s="392">
        <f>'B-1 On-Site Hedge Baseline'!AK53</f>
        <v>116</v>
      </c>
      <c r="C55" s="382" t="str">
        <f ca="1">IF(B55="","",IF(ISNA(VLOOKUP($B55,'B-1 On-Site Hedge Baseline'!$B$1:$L$257,3,FALSE)),"",(VLOOKUP($B55,'B-1 On-Site Hedge Baseline'!$B$1:$L$257,3,FALSE))))</f>
        <v>Species-rich native hedgerow</v>
      </c>
      <c r="D55" s="382">
        <f ca="1">IF(B55="","",IF(ISNA(VLOOKUP($B55,'B-1 On-Site Hedge Baseline'!$B$1:$L$257,4,FALSE)),"",(VLOOKUP($B55,'B-1 On-Site Hedge Baseline'!$B$1:$L$257,4,FALSE))))</f>
        <v>0.2772</v>
      </c>
      <c r="E55" s="382" t="str">
        <f ca="1">IF(B55="","",IF(ISNA(VLOOKUP($B55,'B-1 On-Site Hedge Baseline'!$B$1:$L$257,5,FALSE)),"",(VLOOKUP($B55,'B-1 On-Site Hedge Baseline'!$B$1:$L$257,5,FALSE))))</f>
        <v>Medium</v>
      </c>
      <c r="F55" s="382">
        <f ca="1">IF(B55="","",IF(ISNA(VLOOKUP($B55,'B-1 On-Site Hedge Baseline'!$B$1:$L$257,6,FALSE)),"",(VLOOKUP($B55,'B-1 On-Site Hedge Baseline'!$B$1:$L$257,6,FALSE))))</f>
        <v>4</v>
      </c>
      <c r="G55" s="382" t="str">
        <f ca="1">IF(B55="","",IF(ISNA(VLOOKUP($B55,'B-1 On-Site Hedge Baseline'!$B$1:$L$257,7,FALSE)),"",(VLOOKUP($B55,'B-1 On-Site Hedge Baseline'!$B$1:$L$257,7,FALSE))))</f>
        <v>Good</v>
      </c>
      <c r="H55" s="382">
        <f ca="1">IF(B55="","",IF(ISNA(VLOOKUP($B55,'B-1 On-Site Hedge Baseline'!$B$1:$L$257,8,FALSE)),"",(VLOOKUP($B55,'B-1 On-Site Hedge Baseline'!$B$1:$L$257,8,FALSE))))</f>
        <v>3</v>
      </c>
      <c r="I55" s="382" t="str">
        <f ca="1">IF(B55="","",IF(ISNA(VLOOKUP($B55,'B-1 On-Site Hedge Baseline'!$B$1:$L$257,10,FALSE)),"",(VLOOKUP($B55,'B-1 On-Site Hedge Baseline'!$B$1:$L$257,10,FALSE))))</f>
        <v>Low Strategic Significance</v>
      </c>
      <c r="J55" s="382">
        <f ca="1">IF(B55="","",IF(ISNA(VLOOKUP($B55,'B-1 On-Site Hedge Baseline'!$B$1:$L$257,11,FALSE)),"",(VLOOKUP($B55,'B-1 On-Site Hedge Baseline'!$B$1:$L$257,11,FALSE))))</f>
        <v>1</v>
      </c>
      <c r="K55" s="382">
        <f ca="1">IF(B55="","",IF(ISNA(VLOOKUP($B55,'B-1 On-Site Hedge Baseline'!$B$1:$U$257,13,FALSE)),"",(VLOOKUP($B55,'B-1 On-Site Hedge Baseline'!$B$1:$U$257,13,FALSE))))</f>
        <v>3.3264</v>
      </c>
      <c r="L55" s="386" t="str">
        <f ca="1">IF(B55="","",IF(ISNA(VLOOKUP($B55,'B-1 On-Site Hedge Baseline'!$B$1:$U$257,12,FALSE)),"",(VLOOKUP($B55,'B-1 On-Site Hedge Baseline'!$B$1:$U$257,12,FALSE))))</f>
        <v>Same distinctiveness band or better</v>
      </c>
      <c r="M55" s="315" t="s">
        <v>168</v>
      </c>
      <c r="N55" s="362" t="str">
        <f ca="1">IFERROR(IF(B55="","",INDEX('G-6 Hedgerow Data'!$AN$3:$AZ$15,MATCH(C55,'G-6 Hedgerow Data'!$AM$3:$AM$15,0),MATCH(M55,'G-6 Hedgerow Data'!$AN$2:$AZ$2,0))),"")</f>
        <v>Medium - High</v>
      </c>
      <c r="O55" s="363" t="str">
        <f t="shared" ca="1" si="2"/>
        <v>Lower Distinctiveness Habitat - Good</v>
      </c>
      <c r="P55" s="417">
        <f>IF(B55="","",VLOOKUP(B55,'B-1 On-Site Hedge Baseline'!$B$10:T300,16,FALSE))</f>
        <v>0.24399999999999999</v>
      </c>
      <c r="Q55" s="362" t="str">
        <f>IF(M55="","",VLOOKUP(M55,'G-6 Hedgerow Data'!$B$2:$AG$15,2,FALSE))</f>
        <v>High</v>
      </c>
      <c r="R55" s="363">
        <f>IF(M55="","",VLOOKUP(M55,'G-6 Hedgerow Data'!$B$2:$AG$15,3,FALSE))</f>
        <v>6</v>
      </c>
      <c r="S55" s="125" t="s">
        <v>68</v>
      </c>
      <c r="T55" s="401">
        <f>IFERROR(VLOOKUP(S55,'G-1 All Habitats'!$Z$2:$AA$9,2,FALSE),"")</f>
        <v>3</v>
      </c>
      <c r="U55" s="122" t="s">
        <v>1037</v>
      </c>
      <c r="V55" s="382" t="str">
        <f>IF(U55="","",IF(VLOOKUP(U55,'G-3 Multipliers'!$L$3:$N$6,2,FALSE)=0,"Spatial Data Missing ⚠",VLOOKUP(U55,'G-3 Multipliers'!$L$3:$N$6,2,FALSE)))</f>
        <v>Low Strategic Significance</v>
      </c>
      <c r="W55" s="386">
        <f>IF(U55="","",IF(VLOOKUP(U55,'G-3 Multipliers'!$L$3:$N$6,3,FALSE)=0,"Spatial Data Missing ⚠",VLOOKUP(U55,'G-3 Multipliers'!$L$3:$N$6,3,FALSE)))</f>
        <v>1</v>
      </c>
      <c r="X55" s="362">
        <f ca="1">IFERROR(IF(OR(LEFT(O55,5)="Error",LEFT(N55,5)="Error",T55="Error"),"Check Data ⚠",IF(F55&lt;R55,INDEX('G-6 Hedgerow Data'!$S$3:$AE$14,MATCH(C55,'G-6 Hedgerow Data'!$B$3:$B$14,0),MATCH(M55,'G-6 Hedgerow Data'!$S$2:$AE$2,0)),INDEX('G-6 Hedgerow Data'!$K$3:$Q$14,MATCH(M55,'G-6 Hedgerow Data'!$B$3:$B$14,0),MATCH(O55,'G-6 Hedgerow Data'!$K$2:$Q$2,0)))),"")</f>
        <v>10</v>
      </c>
      <c r="Y55" s="159"/>
      <c r="Z55" s="159"/>
      <c r="AA55" s="370" t="str">
        <f t="shared" ca="1" si="3"/>
        <v>Standard time to target condition applied</v>
      </c>
      <c r="AB55" s="383">
        <f t="shared" ca="1" si="4"/>
        <v>10</v>
      </c>
      <c r="AC55" s="384">
        <f t="shared" ca="1" si="0"/>
        <v>0.70028227419999989</v>
      </c>
      <c r="AD55" s="398" t="str">
        <f>IF(M55="","",VLOOKUP(M55,'G-6 Hedgerow Data'!$B$3:$AG$15,31,FALSE))</f>
        <v>Low</v>
      </c>
      <c r="AE55" s="370" t="str">
        <f t="shared" ca="1" si="5"/>
        <v>Standard difficulty applied</v>
      </c>
      <c r="AF55" s="370" t="str">
        <f t="shared" ca="1" si="6"/>
        <v>Low</v>
      </c>
      <c r="AG55" s="386">
        <f ca="1">IFERROR(IF(O55="","",VLOOKUP(AD55,'G-3 Multipliers'!$P$3:$Q$6,2,FALSE)),"")</f>
        <v>1</v>
      </c>
      <c r="AH55" s="376">
        <f t="shared" ca="1" si="7"/>
        <v>3.9532132494287993</v>
      </c>
      <c r="AI55" s="188"/>
      <c r="AJ55" s="118"/>
      <c r="AK55" s="120"/>
      <c r="AT55" s="30" t="str">
        <f>IFERROR(INDEX('G-6 Hedgerow Data'!$BJ$3:$BJ$15,MATCH(M55,'G-6 Hedgerow Data'!$B$3:$B$15,0)),"")</f>
        <v>Hedgecond1</v>
      </c>
    </row>
    <row r="56" spans="2:46" ht="28.5" x14ac:dyDescent="0.2">
      <c r="B56" s="392">
        <f>'B-1 On-Site Hedge Baseline'!AK54</f>
        <v>117</v>
      </c>
      <c r="C56" s="382" t="str">
        <f ca="1">IF(B56="","",IF(ISNA(VLOOKUP($B56,'B-1 On-Site Hedge Baseline'!$B$1:$L$257,3,FALSE)),"",(VLOOKUP($B56,'B-1 On-Site Hedge Baseline'!$B$1:$L$257,3,FALSE))))</f>
        <v>Native hedgerow</v>
      </c>
      <c r="D56" s="382">
        <f ca="1">IF(B56="","",IF(ISNA(VLOOKUP($B56,'B-1 On-Site Hedge Baseline'!$B$1:$L$257,4,FALSE)),"",(VLOOKUP($B56,'B-1 On-Site Hedge Baseline'!$B$1:$L$257,4,FALSE))))</f>
        <v>0.44840000000000002</v>
      </c>
      <c r="E56" s="382" t="str">
        <f ca="1">IF(B56="","",IF(ISNA(VLOOKUP($B56,'B-1 On-Site Hedge Baseline'!$B$1:$L$257,5,FALSE)),"",(VLOOKUP($B56,'B-1 On-Site Hedge Baseline'!$B$1:$L$257,5,FALSE))))</f>
        <v>Low</v>
      </c>
      <c r="F56" s="382">
        <f ca="1">IF(B56="","",IF(ISNA(VLOOKUP($B56,'B-1 On-Site Hedge Baseline'!$B$1:$L$257,6,FALSE)),"",(VLOOKUP($B56,'B-1 On-Site Hedge Baseline'!$B$1:$L$257,6,FALSE))))</f>
        <v>2</v>
      </c>
      <c r="G56" s="382" t="str">
        <f ca="1">IF(B56="","",IF(ISNA(VLOOKUP($B56,'B-1 On-Site Hedge Baseline'!$B$1:$L$257,7,FALSE)),"",(VLOOKUP($B56,'B-1 On-Site Hedge Baseline'!$B$1:$L$257,7,FALSE))))</f>
        <v>Good</v>
      </c>
      <c r="H56" s="382">
        <f ca="1">IF(B56="","",IF(ISNA(VLOOKUP($B56,'B-1 On-Site Hedge Baseline'!$B$1:$L$257,8,FALSE)),"",(VLOOKUP($B56,'B-1 On-Site Hedge Baseline'!$B$1:$L$257,8,FALSE))))</f>
        <v>3</v>
      </c>
      <c r="I56" s="382" t="str">
        <f ca="1">IF(B56="","",IF(ISNA(VLOOKUP($B56,'B-1 On-Site Hedge Baseline'!$B$1:$L$257,10,FALSE)),"",(VLOOKUP($B56,'B-1 On-Site Hedge Baseline'!$B$1:$L$257,10,FALSE))))</f>
        <v>Low Strategic Significance</v>
      </c>
      <c r="J56" s="382">
        <f ca="1">IF(B56="","",IF(ISNA(VLOOKUP($B56,'B-1 On-Site Hedge Baseline'!$B$1:$L$257,11,FALSE)),"",(VLOOKUP($B56,'B-1 On-Site Hedge Baseline'!$B$1:$L$257,11,FALSE))))</f>
        <v>1</v>
      </c>
      <c r="K56" s="382">
        <f ca="1">IF(B56="","",IF(ISNA(VLOOKUP($B56,'B-1 On-Site Hedge Baseline'!$B$1:$U$257,13,FALSE)),"",(VLOOKUP($B56,'B-1 On-Site Hedge Baseline'!$B$1:$U$257,13,FALSE))))</f>
        <v>2.6904000000000003</v>
      </c>
      <c r="L56" s="386" t="str">
        <f ca="1">IF(B56="","",IF(ISNA(VLOOKUP($B56,'B-1 On-Site Hedge Baseline'!$B$1:$U$257,12,FALSE)),"",(VLOOKUP($B56,'B-1 On-Site Hedge Baseline'!$B$1:$U$257,12,FALSE))))</f>
        <v>Same distinctiveness band or better</v>
      </c>
      <c r="M56" s="315" t="s">
        <v>171</v>
      </c>
      <c r="N56" s="362" t="str">
        <f ca="1">IFERROR(IF(B56="","",INDEX('G-6 Hedgerow Data'!$AN$3:$AZ$15,MATCH(C56,'G-6 Hedgerow Data'!$AM$3:$AM$15,0),MATCH(M56,'G-6 Hedgerow Data'!$AN$2:$AZ$2,0))),"")</f>
        <v>Low - Medium</v>
      </c>
      <c r="O56" s="363" t="str">
        <f t="shared" ca="1" si="2"/>
        <v>Lower Distinctiveness Habitat - Good</v>
      </c>
      <c r="P56" s="417">
        <f>IF(B56="","",VLOOKUP(B56,'B-1 On-Site Hedge Baseline'!$B$10:T301,16,FALSE))</f>
        <v>0.38379999999999997</v>
      </c>
      <c r="Q56" s="362" t="str">
        <f>IF(M56="","",VLOOKUP(M56,'G-6 Hedgerow Data'!$B$2:$AG$15,2,FALSE))</f>
        <v>Medium</v>
      </c>
      <c r="R56" s="363">
        <f>IF(M56="","",VLOOKUP(M56,'G-6 Hedgerow Data'!$B$2:$AG$15,3,FALSE))</f>
        <v>4</v>
      </c>
      <c r="S56" s="125" t="s">
        <v>68</v>
      </c>
      <c r="T56" s="401">
        <f>IFERROR(VLOOKUP(S56,'G-1 All Habitats'!$Z$2:$AA$9,2,FALSE),"")</f>
        <v>3</v>
      </c>
      <c r="U56" s="122" t="s">
        <v>1037</v>
      </c>
      <c r="V56" s="382" t="str">
        <f>IF(U56="","",IF(VLOOKUP(U56,'G-3 Multipliers'!$L$3:$N$6,2,FALSE)=0,"Spatial Data Missing ⚠",VLOOKUP(U56,'G-3 Multipliers'!$L$3:$N$6,2,FALSE)))</f>
        <v>Low Strategic Significance</v>
      </c>
      <c r="W56" s="386">
        <f>IF(U56="","",IF(VLOOKUP(U56,'G-3 Multipliers'!$L$3:$N$6,3,FALSE)=0,"Spatial Data Missing ⚠",VLOOKUP(U56,'G-3 Multipliers'!$L$3:$N$6,3,FALSE)))</f>
        <v>1</v>
      </c>
      <c r="X56" s="362">
        <f ca="1">IFERROR(IF(OR(LEFT(O56,5)="Error",LEFT(N56,5)="Error",T56="Error"),"Check Data ⚠",IF(F56&lt;R56,INDEX('G-6 Hedgerow Data'!$S$3:$AE$14,MATCH(C56,'G-6 Hedgerow Data'!$B$3:$B$14,0),MATCH(M56,'G-6 Hedgerow Data'!$S$2:$AE$2,0)),INDEX('G-6 Hedgerow Data'!$K$3:$Q$14,MATCH(M56,'G-6 Hedgerow Data'!$B$3:$B$14,0),MATCH(O56,'G-6 Hedgerow Data'!$K$2:$Q$2,0)))),"")</f>
        <v>5</v>
      </c>
      <c r="Y56" s="159"/>
      <c r="Z56" s="159"/>
      <c r="AA56" s="370" t="str">
        <f t="shared" ca="1" si="3"/>
        <v>Standard time to target condition applied</v>
      </c>
      <c r="AB56" s="383">
        <f t="shared" ca="1" si="4"/>
        <v>5</v>
      </c>
      <c r="AC56" s="384">
        <f t="shared" ca="1" si="0"/>
        <v>0.83682870060000003</v>
      </c>
      <c r="AD56" s="398" t="str">
        <f>IF(M56="","",VLOOKUP(M56,'G-6 Hedgerow Data'!$B$3:$AG$15,31,FALSE))</f>
        <v>Low</v>
      </c>
      <c r="AE56" s="370" t="str">
        <f t="shared" ca="1" si="5"/>
        <v>Standard difficulty applied</v>
      </c>
      <c r="AF56" s="370" t="str">
        <f t="shared" ca="1" si="6"/>
        <v>Low</v>
      </c>
      <c r="AG56" s="386">
        <f ca="1">IFERROR(IF(O56="","",VLOOKUP(AD56,'G-3 Multipliers'!$P$3:$Q$6,2,FALSE)),"")</f>
        <v>1</v>
      </c>
      <c r="AH56" s="376">
        <f t="shared" ca="1" si="7"/>
        <v>4.2298491317416804</v>
      </c>
      <c r="AI56" s="188"/>
      <c r="AJ56" s="118"/>
      <c r="AK56" s="120"/>
      <c r="AT56" s="30" t="str">
        <f>IFERROR(INDEX('G-6 Hedgerow Data'!$BJ$3:$BJ$15,MATCH(M56,'G-6 Hedgerow Data'!$B$3:$B$15,0)),"")</f>
        <v>Hedgecond1</v>
      </c>
    </row>
    <row r="57" spans="2:46" ht="28.5" x14ac:dyDescent="0.2">
      <c r="B57" s="392">
        <f>'B-1 On-Site Hedge Baseline'!AK55</f>
        <v>119</v>
      </c>
      <c r="C57" s="382" t="str">
        <f ca="1">IF(B57="","",IF(ISNA(VLOOKUP($B57,'B-1 On-Site Hedge Baseline'!$B$1:$L$257,3,FALSE)),"",(VLOOKUP($B57,'B-1 On-Site Hedge Baseline'!$B$1:$L$257,3,FALSE))))</f>
        <v>Native hedgerow with trees</v>
      </c>
      <c r="D57" s="382">
        <f ca="1">IF(B57="","",IF(ISNA(VLOOKUP($B57,'B-1 On-Site Hedge Baseline'!$B$1:$L$257,4,FALSE)),"",(VLOOKUP($B57,'B-1 On-Site Hedge Baseline'!$B$1:$L$257,4,FALSE))))</f>
        <v>7.7100000000000002E-2</v>
      </c>
      <c r="E57" s="382" t="str">
        <f ca="1">IF(B57="","",IF(ISNA(VLOOKUP($B57,'B-1 On-Site Hedge Baseline'!$B$1:$L$257,5,FALSE)),"",(VLOOKUP($B57,'B-1 On-Site Hedge Baseline'!$B$1:$L$257,5,FALSE))))</f>
        <v>Medium</v>
      </c>
      <c r="F57" s="382">
        <f ca="1">IF(B57="","",IF(ISNA(VLOOKUP($B57,'B-1 On-Site Hedge Baseline'!$B$1:$L$257,6,FALSE)),"",(VLOOKUP($B57,'B-1 On-Site Hedge Baseline'!$B$1:$L$257,6,FALSE))))</f>
        <v>4</v>
      </c>
      <c r="G57" s="382" t="str">
        <f ca="1">IF(B57="","",IF(ISNA(VLOOKUP($B57,'B-1 On-Site Hedge Baseline'!$B$1:$L$257,7,FALSE)),"",(VLOOKUP($B57,'B-1 On-Site Hedge Baseline'!$B$1:$L$257,7,FALSE))))</f>
        <v>Moderate</v>
      </c>
      <c r="H57" s="382">
        <f ca="1">IF(B57="","",IF(ISNA(VLOOKUP($B57,'B-1 On-Site Hedge Baseline'!$B$1:$L$257,8,FALSE)),"",(VLOOKUP($B57,'B-1 On-Site Hedge Baseline'!$B$1:$L$257,8,FALSE))))</f>
        <v>2</v>
      </c>
      <c r="I57" s="382" t="str">
        <f ca="1">IF(B57="","",IF(ISNA(VLOOKUP($B57,'B-1 On-Site Hedge Baseline'!$B$1:$L$257,10,FALSE)),"",(VLOOKUP($B57,'B-1 On-Site Hedge Baseline'!$B$1:$L$257,10,FALSE))))</f>
        <v>Low Strategic Significance</v>
      </c>
      <c r="J57" s="382">
        <f ca="1">IF(B57="","",IF(ISNA(VLOOKUP($B57,'B-1 On-Site Hedge Baseline'!$B$1:$L$257,11,FALSE)),"",(VLOOKUP($B57,'B-1 On-Site Hedge Baseline'!$B$1:$L$257,11,FALSE))))</f>
        <v>1</v>
      </c>
      <c r="K57" s="382">
        <f ca="1">IF(B57="","",IF(ISNA(VLOOKUP($B57,'B-1 On-Site Hedge Baseline'!$B$1:$U$257,13,FALSE)),"",(VLOOKUP($B57,'B-1 On-Site Hedge Baseline'!$B$1:$U$257,13,FALSE))))</f>
        <v>0.61680000000000001</v>
      </c>
      <c r="L57" s="386" t="str">
        <f ca="1">IF(B57="","",IF(ISNA(VLOOKUP($B57,'B-1 On-Site Hedge Baseline'!$B$1:$U$257,12,FALSE)),"",(VLOOKUP($B57,'B-1 On-Site Hedge Baseline'!$B$1:$U$257,12,FALSE))))</f>
        <v>Same distinctiveness band or better</v>
      </c>
      <c r="M57" s="315" t="str">
        <f t="shared" ca="1" si="1"/>
        <v>Native hedgerow with trees</v>
      </c>
      <c r="N57" s="362" t="str">
        <f ca="1">IFERROR(IF(B57="","",INDEX('G-6 Hedgerow Data'!$AN$3:$AZ$15,MATCH(C57,'G-6 Hedgerow Data'!$AM$3:$AM$15,0),MATCH(M57,'G-6 Hedgerow Data'!$AN$2:$AZ$2,0))),"")</f>
        <v>Medium - Medium</v>
      </c>
      <c r="O57" s="363" t="str">
        <f t="shared" ca="1" si="2"/>
        <v>Moderate - Good</v>
      </c>
      <c r="P57" s="417">
        <f>IF(B57="","",VLOOKUP(B57,'B-1 On-Site Hedge Baseline'!$B$10:T302,16,FALSE))</f>
        <v>7.7100000000000002E-2</v>
      </c>
      <c r="Q57" s="362" t="str">
        <f ca="1">IF(M57="","",VLOOKUP(M57,'G-6 Hedgerow Data'!$B$2:$AG$15,2,FALSE))</f>
        <v>Medium</v>
      </c>
      <c r="R57" s="363">
        <f ca="1">IF(M57="","",VLOOKUP(M57,'G-6 Hedgerow Data'!$B$2:$AG$15,3,FALSE))</f>
        <v>4</v>
      </c>
      <c r="S57" s="125" t="s">
        <v>68</v>
      </c>
      <c r="T57" s="401">
        <f>IFERROR(VLOOKUP(S57,'G-1 All Habitats'!$Z$2:$AA$9,2,FALSE),"")</f>
        <v>3</v>
      </c>
      <c r="U57" s="122" t="s">
        <v>1037</v>
      </c>
      <c r="V57" s="382" t="str">
        <f>IF(U57="","",IF(VLOOKUP(U57,'G-3 Multipliers'!$L$3:$N$6,2,FALSE)=0,"Spatial Data Missing ⚠",VLOOKUP(U57,'G-3 Multipliers'!$L$3:$N$6,2,FALSE)))</f>
        <v>Low Strategic Significance</v>
      </c>
      <c r="W57" s="386">
        <f>IF(U57="","",IF(VLOOKUP(U57,'G-3 Multipliers'!$L$3:$N$6,3,FALSE)=0,"Spatial Data Missing ⚠",VLOOKUP(U57,'G-3 Multipliers'!$L$3:$N$6,3,FALSE)))</f>
        <v>1</v>
      </c>
      <c r="X57" s="362">
        <f ca="1">IFERROR(IF(OR(LEFT(O57,5)="Error",LEFT(N57,5)="Error",T57="Error"),"Check Data ⚠",IF(F57&lt;R57,INDEX('G-6 Hedgerow Data'!$S$3:$AE$14,MATCH(C57,'G-6 Hedgerow Data'!$B$3:$B$14,0),MATCH(M57,'G-6 Hedgerow Data'!$S$2:$AE$2,0)),INDEX('G-6 Hedgerow Data'!$K$3:$Q$14,MATCH(M57,'G-6 Hedgerow Data'!$B$3:$B$14,0),MATCH(O57,'G-6 Hedgerow Data'!$K$2:$Q$2,0)))),"")</f>
        <v>4</v>
      </c>
      <c r="Y57" s="159"/>
      <c r="Z57" s="159"/>
      <c r="AA57" s="370" t="str">
        <f t="shared" ca="1" si="3"/>
        <v>Standard time to target condition applied</v>
      </c>
      <c r="AB57" s="383">
        <f t="shared" ca="1" si="4"/>
        <v>4</v>
      </c>
      <c r="AC57" s="384">
        <f t="shared" ca="1" si="0"/>
        <v>0.86718000059999989</v>
      </c>
      <c r="AD57" s="398" t="str">
        <f ca="1">IF(M57="","",VLOOKUP(M57,'G-6 Hedgerow Data'!$B$3:$AG$15,31,FALSE))</f>
        <v>Low</v>
      </c>
      <c r="AE57" s="370" t="str">
        <f t="shared" ca="1" si="5"/>
        <v>Standard difficulty applied</v>
      </c>
      <c r="AF57" s="370" t="str">
        <f t="shared" ca="1" si="6"/>
        <v>Low</v>
      </c>
      <c r="AG57" s="386">
        <f ca="1">IFERROR(IF(O57="","",VLOOKUP(AD57,'G-3 Multipliers'!$P$3:$Q$6,2,FALSE)),"")</f>
        <v>1</v>
      </c>
      <c r="AH57" s="376">
        <f t="shared" ca="1" si="7"/>
        <v>0.88423831218504001</v>
      </c>
      <c r="AI57" s="188"/>
      <c r="AJ57" s="118"/>
      <c r="AK57" s="120"/>
      <c r="AT57" s="30" t="str">
        <f ca="1">IFERROR(INDEX('G-6 Hedgerow Data'!$BJ$3:$BJ$15,MATCH(M57,'G-6 Hedgerow Data'!$B$3:$B$15,0)),"")</f>
        <v>Hedgecond1</v>
      </c>
    </row>
    <row r="58" spans="2:46" ht="28.5" x14ac:dyDescent="0.2">
      <c r="B58" s="392">
        <f>'B-1 On-Site Hedge Baseline'!AK56</f>
        <v>120</v>
      </c>
      <c r="C58" s="382" t="str">
        <f ca="1">IF(B58="","",IF(ISNA(VLOOKUP($B58,'B-1 On-Site Hedge Baseline'!$B$1:$L$257,3,FALSE)),"",(VLOOKUP($B58,'B-1 On-Site Hedge Baseline'!$B$1:$L$257,3,FALSE))))</f>
        <v>Native hedgerow with trees</v>
      </c>
      <c r="D58" s="382">
        <f ca="1">IF(B58="","",IF(ISNA(VLOOKUP($B58,'B-1 On-Site Hedge Baseline'!$B$1:$L$257,4,FALSE)),"",(VLOOKUP($B58,'B-1 On-Site Hedge Baseline'!$B$1:$L$257,4,FALSE))))</f>
        <v>0.14979999999999999</v>
      </c>
      <c r="E58" s="382" t="str">
        <f ca="1">IF(B58="","",IF(ISNA(VLOOKUP($B58,'B-1 On-Site Hedge Baseline'!$B$1:$L$257,5,FALSE)),"",(VLOOKUP($B58,'B-1 On-Site Hedge Baseline'!$B$1:$L$257,5,FALSE))))</f>
        <v>Medium</v>
      </c>
      <c r="F58" s="382">
        <f ca="1">IF(B58="","",IF(ISNA(VLOOKUP($B58,'B-1 On-Site Hedge Baseline'!$B$1:$L$257,6,FALSE)),"",(VLOOKUP($B58,'B-1 On-Site Hedge Baseline'!$B$1:$L$257,6,FALSE))))</f>
        <v>4</v>
      </c>
      <c r="G58" s="382" t="str">
        <f ca="1">IF(B58="","",IF(ISNA(VLOOKUP($B58,'B-1 On-Site Hedge Baseline'!$B$1:$L$257,7,FALSE)),"",(VLOOKUP($B58,'B-1 On-Site Hedge Baseline'!$B$1:$L$257,7,FALSE))))</f>
        <v>Moderate</v>
      </c>
      <c r="H58" s="382">
        <f ca="1">IF(B58="","",IF(ISNA(VLOOKUP($B58,'B-1 On-Site Hedge Baseline'!$B$1:$L$257,8,FALSE)),"",(VLOOKUP($B58,'B-1 On-Site Hedge Baseline'!$B$1:$L$257,8,FALSE))))</f>
        <v>2</v>
      </c>
      <c r="I58" s="382" t="str">
        <f ca="1">IF(B58="","",IF(ISNA(VLOOKUP($B58,'B-1 On-Site Hedge Baseline'!$B$1:$L$257,10,FALSE)),"",(VLOOKUP($B58,'B-1 On-Site Hedge Baseline'!$B$1:$L$257,10,FALSE))))</f>
        <v>Low Strategic Significance</v>
      </c>
      <c r="J58" s="382">
        <f ca="1">IF(B58="","",IF(ISNA(VLOOKUP($B58,'B-1 On-Site Hedge Baseline'!$B$1:$L$257,11,FALSE)),"",(VLOOKUP($B58,'B-1 On-Site Hedge Baseline'!$B$1:$L$257,11,FALSE))))</f>
        <v>1</v>
      </c>
      <c r="K58" s="382">
        <f ca="1">IF(B58="","",IF(ISNA(VLOOKUP($B58,'B-1 On-Site Hedge Baseline'!$B$1:$U$257,13,FALSE)),"",(VLOOKUP($B58,'B-1 On-Site Hedge Baseline'!$B$1:$U$257,13,FALSE))))</f>
        <v>1.1983999999999999</v>
      </c>
      <c r="L58" s="386" t="str">
        <f ca="1">IF(B58="","",IF(ISNA(VLOOKUP($B58,'B-1 On-Site Hedge Baseline'!$B$1:$U$257,12,FALSE)),"",(VLOOKUP($B58,'B-1 On-Site Hedge Baseline'!$B$1:$U$257,12,FALSE))))</f>
        <v>Same distinctiveness band or better</v>
      </c>
      <c r="M58" s="315" t="str">
        <f t="shared" ca="1" si="1"/>
        <v>Native hedgerow with trees</v>
      </c>
      <c r="N58" s="362" t="str">
        <f ca="1">IFERROR(IF(B58="","",INDEX('G-6 Hedgerow Data'!$AN$3:$AZ$15,MATCH(C58,'G-6 Hedgerow Data'!$AM$3:$AM$15,0),MATCH(M58,'G-6 Hedgerow Data'!$AN$2:$AZ$2,0))),"")</f>
        <v>Medium - Medium</v>
      </c>
      <c r="O58" s="363" t="str">
        <f t="shared" ca="1" si="2"/>
        <v>Moderate - Good</v>
      </c>
      <c r="P58" s="417">
        <f>IF(B58="","",VLOOKUP(B58,'B-1 On-Site Hedge Baseline'!$B$10:T303,16,FALSE))</f>
        <v>0.14979999999999999</v>
      </c>
      <c r="Q58" s="362" t="str">
        <f ca="1">IF(M58="","",VLOOKUP(M58,'G-6 Hedgerow Data'!$B$2:$AG$15,2,FALSE))</f>
        <v>Medium</v>
      </c>
      <c r="R58" s="363">
        <f ca="1">IF(M58="","",VLOOKUP(M58,'G-6 Hedgerow Data'!$B$2:$AG$15,3,FALSE))</f>
        <v>4</v>
      </c>
      <c r="S58" s="125" t="s">
        <v>68</v>
      </c>
      <c r="T58" s="401">
        <f>IFERROR(VLOOKUP(S58,'G-1 All Habitats'!$Z$2:$AA$9,2,FALSE),"")</f>
        <v>3</v>
      </c>
      <c r="U58" s="122" t="s">
        <v>1037</v>
      </c>
      <c r="V58" s="382" t="str">
        <f>IF(U58="","",IF(VLOOKUP(U58,'G-3 Multipliers'!$L$3:$N$6,2,FALSE)=0,"Spatial Data Missing ⚠",VLOOKUP(U58,'G-3 Multipliers'!$L$3:$N$6,2,FALSE)))</f>
        <v>Low Strategic Significance</v>
      </c>
      <c r="W58" s="386">
        <f>IF(U58="","",IF(VLOOKUP(U58,'G-3 Multipliers'!$L$3:$N$6,3,FALSE)=0,"Spatial Data Missing ⚠",VLOOKUP(U58,'G-3 Multipliers'!$L$3:$N$6,3,FALSE)))</f>
        <v>1</v>
      </c>
      <c r="X58" s="362">
        <f ca="1">IFERROR(IF(OR(LEFT(O58,5)="Error",LEFT(N58,5)="Error",T58="Error"),"Check Data ⚠",IF(F58&lt;R58,INDEX('G-6 Hedgerow Data'!$S$3:$AE$14,MATCH(C58,'G-6 Hedgerow Data'!$B$3:$B$14,0),MATCH(M58,'G-6 Hedgerow Data'!$S$2:$AE$2,0)),INDEX('G-6 Hedgerow Data'!$K$3:$Q$14,MATCH(M58,'G-6 Hedgerow Data'!$B$3:$B$14,0),MATCH(O58,'G-6 Hedgerow Data'!$K$2:$Q$2,0)))),"")</f>
        <v>4</v>
      </c>
      <c r="Y58" s="159"/>
      <c r="Z58" s="159"/>
      <c r="AA58" s="370" t="str">
        <f t="shared" ca="1" si="3"/>
        <v>Standard time to target condition applied</v>
      </c>
      <c r="AB58" s="383">
        <f t="shared" ca="1" si="4"/>
        <v>4</v>
      </c>
      <c r="AC58" s="384">
        <f t="shared" ca="1" si="0"/>
        <v>0.86718000059999989</v>
      </c>
      <c r="AD58" s="398" t="str">
        <f ca="1">IF(M58="","",VLOOKUP(M58,'G-6 Hedgerow Data'!$B$3:$AG$15,31,FALSE))</f>
        <v>Low</v>
      </c>
      <c r="AE58" s="370" t="str">
        <f t="shared" ca="1" si="5"/>
        <v>Standard difficulty applied</v>
      </c>
      <c r="AF58" s="370" t="str">
        <f t="shared" ca="1" si="6"/>
        <v>Low</v>
      </c>
      <c r="AG58" s="386">
        <f ca="1">IFERROR(IF(O58="","",VLOOKUP(AD58,'G-3 Multipliers'!$P$3:$Q$6,2,FALSE)),"")</f>
        <v>1</v>
      </c>
      <c r="AH58" s="376">
        <f t="shared" ca="1" si="7"/>
        <v>1.7180142563595198</v>
      </c>
      <c r="AI58" s="188"/>
      <c r="AJ58" s="118"/>
      <c r="AK58" s="120"/>
      <c r="AT58" s="30" t="str">
        <f ca="1">IFERROR(INDEX('G-6 Hedgerow Data'!$BJ$3:$BJ$15,MATCH(M58,'G-6 Hedgerow Data'!$B$3:$B$15,0)),"")</f>
        <v>Hedgecond1</v>
      </c>
    </row>
    <row r="59" spans="2:46" ht="28.5" x14ac:dyDescent="0.2">
      <c r="B59" s="392">
        <f>'B-1 On-Site Hedge Baseline'!AK57</f>
        <v>121</v>
      </c>
      <c r="C59" s="382" t="str">
        <f ca="1">IF(B59="","",IF(ISNA(VLOOKUP($B59,'B-1 On-Site Hedge Baseline'!$B$1:$L$257,3,FALSE)),"",(VLOOKUP($B59,'B-1 On-Site Hedge Baseline'!$B$1:$L$257,3,FALSE))))</f>
        <v>Native hedgerow</v>
      </c>
      <c r="D59" s="382">
        <f ca="1">IF(B59="","",IF(ISNA(VLOOKUP($B59,'B-1 On-Site Hedge Baseline'!$B$1:$L$257,4,FALSE)),"",(VLOOKUP($B59,'B-1 On-Site Hedge Baseline'!$B$1:$L$257,4,FALSE))))</f>
        <v>1.2256</v>
      </c>
      <c r="E59" s="382" t="str">
        <f ca="1">IF(B59="","",IF(ISNA(VLOOKUP($B59,'B-1 On-Site Hedge Baseline'!$B$1:$L$257,5,FALSE)),"",(VLOOKUP($B59,'B-1 On-Site Hedge Baseline'!$B$1:$L$257,5,FALSE))))</f>
        <v>Low</v>
      </c>
      <c r="F59" s="382">
        <f ca="1">IF(B59="","",IF(ISNA(VLOOKUP($B59,'B-1 On-Site Hedge Baseline'!$B$1:$L$257,6,FALSE)),"",(VLOOKUP($B59,'B-1 On-Site Hedge Baseline'!$B$1:$L$257,6,FALSE))))</f>
        <v>2</v>
      </c>
      <c r="G59" s="382" t="str">
        <f ca="1">IF(B59="","",IF(ISNA(VLOOKUP($B59,'B-1 On-Site Hedge Baseline'!$B$1:$L$257,7,FALSE)),"",(VLOOKUP($B59,'B-1 On-Site Hedge Baseline'!$B$1:$L$257,7,FALSE))))</f>
        <v>Good</v>
      </c>
      <c r="H59" s="382">
        <f ca="1">IF(B59="","",IF(ISNA(VLOOKUP($B59,'B-1 On-Site Hedge Baseline'!$B$1:$L$257,8,FALSE)),"",(VLOOKUP($B59,'B-1 On-Site Hedge Baseline'!$B$1:$L$257,8,FALSE))))</f>
        <v>3</v>
      </c>
      <c r="I59" s="382" t="str">
        <f ca="1">IF(B59="","",IF(ISNA(VLOOKUP($B59,'B-1 On-Site Hedge Baseline'!$B$1:$L$257,10,FALSE)),"",(VLOOKUP($B59,'B-1 On-Site Hedge Baseline'!$B$1:$L$257,10,FALSE))))</f>
        <v>Low Strategic Significance</v>
      </c>
      <c r="J59" s="382">
        <f ca="1">IF(B59="","",IF(ISNA(VLOOKUP($B59,'B-1 On-Site Hedge Baseline'!$B$1:$L$257,11,FALSE)),"",(VLOOKUP($B59,'B-1 On-Site Hedge Baseline'!$B$1:$L$257,11,FALSE))))</f>
        <v>1</v>
      </c>
      <c r="K59" s="382">
        <f ca="1">IF(B59="","",IF(ISNA(VLOOKUP($B59,'B-1 On-Site Hedge Baseline'!$B$1:$U$257,13,FALSE)),"",(VLOOKUP($B59,'B-1 On-Site Hedge Baseline'!$B$1:$U$257,13,FALSE))))</f>
        <v>7.3536000000000001</v>
      </c>
      <c r="L59" s="386" t="str">
        <f ca="1">IF(B59="","",IF(ISNA(VLOOKUP($B59,'B-1 On-Site Hedge Baseline'!$B$1:$U$257,12,FALSE)),"",(VLOOKUP($B59,'B-1 On-Site Hedge Baseline'!$B$1:$U$257,12,FALSE))))</f>
        <v>Same distinctiveness band or better</v>
      </c>
      <c r="M59" s="315" t="s">
        <v>171</v>
      </c>
      <c r="N59" s="362" t="str">
        <f ca="1">IFERROR(IF(B59="","",INDEX('G-6 Hedgerow Data'!$AN$3:$AZ$15,MATCH(C59,'G-6 Hedgerow Data'!$AM$3:$AM$15,0),MATCH(M59,'G-6 Hedgerow Data'!$AN$2:$AZ$2,0))),"")</f>
        <v>Low - Medium</v>
      </c>
      <c r="O59" s="363" t="str">
        <f t="shared" ca="1" si="2"/>
        <v>Lower Distinctiveness Habitat - Good</v>
      </c>
      <c r="P59" s="417">
        <f>IF(B59="","",VLOOKUP(B59,'B-1 On-Site Hedge Baseline'!$B$10:T304,16,FALSE))</f>
        <v>0.85980000000000001</v>
      </c>
      <c r="Q59" s="362" t="str">
        <f>IF(M59="","",VLOOKUP(M59,'G-6 Hedgerow Data'!$B$2:$AG$15,2,FALSE))</f>
        <v>Medium</v>
      </c>
      <c r="R59" s="363">
        <f>IF(M59="","",VLOOKUP(M59,'G-6 Hedgerow Data'!$B$2:$AG$15,3,FALSE))</f>
        <v>4</v>
      </c>
      <c r="S59" s="125" t="s">
        <v>68</v>
      </c>
      <c r="T59" s="401">
        <f>IFERROR(VLOOKUP(S59,'G-1 All Habitats'!$Z$2:$AA$9,2,FALSE),"")</f>
        <v>3</v>
      </c>
      <c r="U59" s="122" t="s">
        <v>1037</v>
      </c>
      <c r="V59" s="382" t="str">
        <f>IF(U59="","",IF(VLOOKUP(U59,'G-3 Multipliers'!$L$3:$N$6,2,FALSE)=0,"Spatial Data Missing ⚠",VLOOKUP(U59,'G-3 Multipliers'!$L$3:$N$6,2,FALSE)))</f>
        <v>Low Strategic Significance</v>
      </c>
      <c r="W59" s="386">
        <f>IF(U59="","",IF(VLOOKUP(U59,'G-3 Multipliers'!$L$3:$N$6,3,FALSE)=0,"Spatial Data Missing ⚠",VLOOKUP(U59,'G-3 Multipliers'!$L$3:$N$6,3,FALSE)))</f>
        <v>1</v>
      </c>
      <c r="X59" s="362">
        <f ca="1">IFERROR(IF(OR(LEFT(O59,5)="Error",LEFT(N59,5)="Error",T59="Error"),"Check Data ⚠",IF(F59&lt;R59,INDEX('G-6 Hedgerow Data'!$S$3:$AE$14,MATCH(C59,'G-6 Hedgerow Data'!$B$3:$B$14,0),MATCH(M59,'G-6 Hedgerow Data'!$S$2:$AE$2,0)),INDEX('G-6 Hedgerow Data'!$K$3:$Q$14,MATCH(M59,'G-6 Hedgerow Data'!$B$3:$B$14,0),MATCH(O59,'G-6 Hedgerow Data'!$K$2:$Q$2,0)))),"")</f>
        <v>5</v>
      </c>
      <c r="Y59" s="159"/>
      <c r="Z59" s="159"/>
      <c r="AA59" s="370" t="str">
        <f t="shared" ca="1" si="3"/>
        <v>Standard time to target condition applied</v>
      </c>
      <c r="AB59" s="383">
        <f t="shared" ca="1" si="4"/>
        <v>5</v>
      </c>
      <c r="AC59" s="384">
        <f t="shared" ca="1" si="0"/>
        <v>0.83682870060000003</v>
      </c>
      <c r="AD59" s="398" t="str">
        <f>IF(M59="","",VLOOKUP(M59,'G-6 Hedgerow Data'!$B$3:$AG$15,31,FALSE))</f>
        <v>Low</v>
      </c>
      <c r="AE59" s="370" t="str">
        <f t="shared" ca="1" si="5"/>
        <v>Standard difficulty applied</v>
      </c>
      <c r="AF59" s="370" t="str">
        <f t="shared" ca="1" si="6"/>
        <v>Low</v>
      </c>
      <c r="AG59" s="386">
        <f ca="1">IFERROR(IF(O59="","",VLOOKUP(AD59,'G-3 Multipliers'!$P$3:$Q$6,2,FALSE)),"")</f>
        <v>1</v>
      </c>
      <c r="AH59" s="376">
        <f t="shared" ca="1" si="7"/>
        <v>9.4758319006552796</v>
      </c>
      <c r="AI59" s="188"/>
      <c r="AJ59" s="118"/>
      <c r="AK59" s="120"/>
      <c r="AT59" s="30" t="str">
        <f>IFERROR(INDEX('G-6 Hedgerow Data'!$BJ$3:$BJ$15,MATCH(M59,'G-6 Hedgerow Data'!$B$3:$B$15,0)),"")</f>
        <v>Hedgecond1</v>
      </c>
    </row>
    <row r="60" spans="2:46" ht="28.5" x14ac:dyDescent="0.2">
      <c r="B60" s="392">
        <f>'B-1 On-Site Hedge Baseline'!AK58</f>
        <v>133</v>
      </c>
      <c r="C60" s="382" t="str">
        <f ca="1">IF(B60="","",IF(ISNA(VLOOKUP($B60,'B-1 On-Site Hedge Baseline'!$B$1:$L$257,3,FALSE)),"",(VLOOKUP($B60,'B-1 On-Site Hedge Baseline'!$B$1:$L$257,3,FALSE))))</f>
        <v>Species-rich native hedgerow with trees</v>
      </c>
      <c r="D60" s="382">
        <f ca="1">IF(B60="","",IF(ISNA(VLOOKUP($B60,'B-1 On-Site Hedge Baseline'!$B$1:$L$257,4,FALSE)),"",(VLOOKUP($B60,'B-1 On-Site Hedge Baseline'!$B$1:$L$257,4,FALSE))))</f>
        <v>0.44969999999999999</v>
      </c>
      <c r="E60" s="382" t="str">
        <f ca="1">IF(B60="","",IF(ISNA(VLOOKUP($B60,'B-1 On-Site Hedge Baseline'!$B$1:$L$257,5,FALSE)),"",(VLOOKUP($B60,'B-1 On-Site Hedge Baseline'!$B$1:$L$257,5,FALSE))))</f>
        <v>High</v>
      </c>
      <c r="F60" s="382">
        <f ca="1">IF(B60="","",IF(ISNA(VLOOKUP($B60,'B-1 On-Site Hedge Baseline'!$B$1:$L$257,6,FALSE)),"",(VLOOKUP($B60,'B-1 On-Site Hedge Baseline'!$B$1:$L$257,6,FALSE))))</f>
        <v>6</v>
      </c>
      <c r="G60" s="382" t="str">
        <f ca="1">IF(B60="","",IF(ISNA(VLOOKUP($B60,'B-1 On-Site Hedge Baseline'!$B$1:$L$257,7,FALSE)),"",(VLOOKUP($B60,'B-1 On-Site Hedge Baseline'!$B$1:$L$257,7,FALSE))))</f>
        <v>Good</v>
      </c>
      <c r="H60" s="382">
        <f ca="1">IF(B60="","",IF(ISNA(VLOOKUP($B60,'B-1 On-Site Hedge Baseline'!$B$1:$L$257,8,FALSE)),"",(VLOOKUP($B60,'B-1 On-Site Hedge Baseline'!$B$1:$L$257,8,FALSE))))</f>
        <v>3</v>
      </c>
      <c r="I60" s="382" t="str">
        <f ca="1">IF(B60="","",IF(ISNA(VLOOKUP($B60,'B-1 On-Site Hedge Baseline'!$B$1:$L$257,10,FALSE)),"",(VLOOKUP($B60,'B-1 On-Site Hedge Baseline'!$B$1:$L$257,10,FALSE))))</f>
        <v>Low Strategic Significance</v>
      </c>
      <c r="J60" s="382">
        <f ca="1">IF(B60="","",IF(ISNA(VLOOKUP($B60,'B-1 On-Site Hedge Baseline'!$B$1:$L$257,11,FALSE)),"",(VLOOKUP($B60,'B-1 On-Site Hedge Baseline'!$B$1:$L$257,11,FALSE))))</f>
        <v>1</v>
      </c>
      <c r="K60" s="382">
        <f ca="1">IF(B60="","",IF(ISNA(VLOOKUP($B60,'B-1 On-Site Hedge Baseline'!$B$1:$U$257,13,FALSE)),"",(VLOOKUP($B60,'B-1 On-Site Hedge Baseline'!$B$1:$U$257,13,FALSE))))</f>
        <v>8.0945999999999998</v>
      </c>
      <c r="L60" s="386" t="str">
        <f ca="1">IF(B60="","",IF(ISNA(VLOOKUP($B60,'B-1 On-Site Hedge Baseline'!$B$1:$U$257,12,FALSE)),"",(VLOOKUP($B60,'B-1 On-Site Hedge Baseline'!$B$1:$U$257,12,FALSE))))</f>
        <v>Like for like or better</v>
      </c>
      <c r="M60" s="315" t="str">
        <f t="shared" ca="1" si="1"/>
        <v>Species-rich native hedgerow with trees</v>
      </c>
      <c r="N60" s="362" t="str">
        <f ca="1">IFERROR(IF(B60="","",INDEX('G-6 Hedgerow Data'!$AN$3:$AZ$15,MATCH(C60,'G-6 Hedgerow Data'!$AM$3:$AM$15,0),MATCH(M60,'G-6 Hedgerow Data'!$AN$2:$AZ$2,0))),"")</f>
        <v>High - High</v>
      </c>
      <c r="O60" s="363" t="str">
        <f t="shared" ca="1" si="2"/>
        <v>Error - No enhancement ▲</v>
      </c>
      <c r="P60" s="417">
        <f>IF(B60="","",VLOOKUP(B60,'B-1 On-Site Hedge Baseline'!$B$10:T305,16,FALSE))</f>
        <v>0.3931</v>
      </c>
      <c r="Q60" s="362" t="str">
        <f ca="1">IF(M60="","",VLOOKUP(M60,'G-6 Hedgerow Data'!$B$2:$AG$15,2,FALSE))</f>
        <v>High</v>
      </c>
      <c r="R60" s="363">
        <f ca="1">IF(M60="","",VLOOKUP(M60,'G-6 Hedgerow Data'!$B$2:$AG$15,3,FALSE))</f>
        <v>6</v>
      </c>
      <c r="S60" s="125" t="s">
        <v>68</v>
      </c>
      <c r="T60" s="401">
        <f>IFERROR(VLOOKUP(S60,'G-1 All Habitats'!$Z$2:$AA$9,2,FALSE),"")</f>
        <v>3</v>
      </c>
      <c r="U60" s="122" t="s">
        <v>1037</v>
      </c>
      <c r="V60" s="382" t="str">
        <f>IF(U60="","",IF(VLOOKUP(U60,'G-3 Multipliers'!$L$3:$N$6,2,FALSE)=0,"Spatial Data Missing ⚠",VLOOKUP(U60,'G-3 Multipliers'!$L$3:$N$6,2,FALSE)))</f>
        <v>Low Strategic Significance</v>
      </c>
      <c r="W60" s="386">
        <f>IF(U60="","",IF(VLOOKUP(U60,'G-3 Multipliers'!$L$3:$N$6,3,FALSE)=0,"Spatial Data Missing ⚠",VLOOKUP(U60,'G-3 Multipliers'!$L$3:$N$6,3,FALSE)))</f>
        <v>1</v>
      </c>
      <c r="X60" s="362" t="str">
        <f ca="1">IFERROR(IF(OR(LEFT(O60,5)="Error",LEFT(N60,5)="Error",T60="Error"),"Check Data ⚠",IF(F60&lt;R60,INDEX('G-6 Hedgerow Data'!$S$3:$AE$14,MATCH(C60,'G-6 Hedgerow Data'!$B$3:$B$14,0),MATCH(M60,'G-6 Hedgerow Data'!$S$2:$AE$2,0)),INDEX('G-6 Hedgerow Data'!$K$3:$Q$14,MATCH(M60,'G-6 Hedgerow Data'!$B$3:$B$14,0),MATCH(O60,'G-6 Hedgerow Data'!$K$2:$Q$2,0)))),"")</f>
        <v>Check Data ⚠</v>
      </c>
      <c r="Y60" s="159"/>
      <c r="Z60" s="159"/>
      <c r="AA60" s="370" t="str">
        <f t="shared" ca="1" si="3"/>
        <v>Check Data ⚠</v>
      </c>
      <c r="AB60" s="383" t="str">
        <f t="shared" ca="1" si="4"/>
        <v>Check Data ⚠</v>
      </c>
      <c r="AC60" s="384" t="str">
        <f t="shared" ca="1" si="0"/>
        <v>Check Data ⚠</v>
      </c>
      <c r="AD60" s="398" t="str">
        <f ca="1">IF(M60="","",VLOOKUP(M60,'G-6 Hedgerow Data'!$B$3:$AG$15,31,FALSE))</f>
        <v>Low</v>
      </c>
      <c r="AE60" s="370" t="str">
        <f t="shared" ca="1" si="5"/>
        <v>Check Data ⚠</v>
      </c>
      <c r="AF60" s="370" t="str">
        <f t="shared" ca="1" si="6"/>
        <v>Low</v>
      </c>
      <c r="AG60" s="386">
        <f ca="1">IFERROR(IF(O60="","",VLOOKUP(AD60,'G-3 Multipliers'!$P$3:$Q$6,2,FALSE)),"")</f>
        <v>1</v>
      </c>
      <c r="AH60" s="376" t="str">
        <f t="shared" ca="1" si="7"/>
        <v/>
      </c>
      <c r="AI60" s="188"/>
      <c r="AJ60" s="118"/>
      <c r="AK60" s="120"/>
      <c r="AT60" s="30" t="str">
        <f ca="1">IFERROR(INDEX('G-6 Hedgerow Data'!$BJ$3:$BJ$15,MATCH(M60,'G-6 Hedgerow Data'!$B$3:$B$15,0)),"")</f>
        <v>Hedgecond1</v>
      </c>
    </row>
    <row r="61" spans="2:46" ht="28.5" x14ac:dyDescent="0.2">
      <c r="B61" s="392">
        <f>'B-1 On-Site Hedge Baseline'!AK59</f>
        <v>134</v>
      </c>
      <c r="C61" s="382" t="str">
        <f ca="1">IF(B61="","",IF(ISNA(VLOOKUP($B61,'B-1 On-Site Hedge Baseline'!$B$1:$L$257,3,FALSE)),"",(VLOOKUP($B61,'B-1 On-Site Hedge Baseline'!$B$1:$L$257,3,FALSE))))</f>
        <v>Species-rich native hedgerow with trees</v>
      </c>
      <c r="D61" s="382">
        <f ca="1">IF(B61="","",IF(ISNA(VLOOKUP($B61,'B-1 On-Site Hedge Baseline'!$B$1:$L$257,4,FALSE)),"",(VLOOKUP($B61,'B-1 On-Site Hedge Baseline'!$B$1:$L$257,4,FALSE))))</f>
        <v>3.2599999999999997E-2</v>
      </c>
      <c r="E61" s="382" t="str">
        <f ca="1">IF(B61="","",IF(ISNA(VLOOKUP($B61,'B-1 On-Site Hedge Baseline'!$B$1:$L$257,5,FALSE)),"",(VLOOKUP($B61,'B-1 On-Site Hedge Baseline'!$B$1:$L$257,5,FALSE))))</f>
        <v>High</v>
      </c>
      <c r="F61" s="382">
        <f ca="1">IF(B61="","",IF(ISNA(VLOOKUP($B61,'B-1 On-Site Hedge Baseline'!$B$1:$L$257,6,FALSE)),"",(VLOOKUP($B61,'B-1 On-Site Hedge Baseline'!$B$1:$L$257,6,FALSE))))</f>
        <v>6</v>
      </c>
      <c r="G61" s="382" t="str">
        <f ca="1">IF(B61="","",IF(ISNA(VLOOKUP($B61,'B-1 On-Site Hedge Baseline'!$B$1:$L$257,7,FALSE)),"",(VLOOKUP($B61,'B-1 On-Site Hedge Baseline'!$B$1:$L$257,7,FALSE))))</f>
        <v>Good</v>
      </c>
      <c r="H61" s="382">
        <f ca="1">IF(B61="","",IF(ISNA(VLOOKUP($B61,'B-1 On-Site Hedge Baseline'!$B$1:$L$257,8,FALSE)),"",(VLOOKUP($B61,'B-1 On-Site Hedge Baseline'!$B$1:$L$257,8,FALSE))))</f>
        <v>3</v>
      </c>
      <c r="I61" s="382" t="str">
        <f ca="1">IF(B61="","",IF(ISNA(VLOOKUP($B61,'B-1 On-Site Hedge Baseline'!$B$1:$L$257,10,FALSE)),"",(VLOOKUP($B61,'B-1 On-Site Hedge Baseline'!$B$1:$L$257,10,FALSE))))</f>
        <v xml:space="preserve">High strategic significance </v>
      </c>
      <c r="J61" s="382">
        <f ca="1">IF(B61="","",IF(ISNA(VLOOKUP($B61,'B-1 On-Site Hedge Baseline'!$B$1:$L$257,11,FALSE)),"",(VLOOKUP($B61,'B-1 On-Site Hedge Baseline'!$B$1:$L$257,11,FALSE))))</f>
        <v>1.1499999999999999</v>
      </c>
      <c r="K61" s="382">
        <f ca="1">IF(B61="","",IF(ISNA(VLOOKUP($B61,'B-1 On-Site Hedge Baseline'!$B$1:$U$257,13,FALSE)),"",(VLOOKUP($B61,'B-1 On-Site Hedge Baseline'!$B$1:$U$257,13,FALSE))))</f>
        <v>0.67481999999999998</v>
      </c>
      <c r="L61" s="386" t="str">
        <f ca="1">IF(B61="","",IF(ISNA(VLOOKUP($B61,'B-1 On-Site Hedge Baseline'!$B$1:$U$257,12,FALSE)),"",(VLOOKUP($B61,'B-1 On-Site Hedge Baseline'!$B$1:$U$257,12,FALSE))))</f>
        <v>Like for like or better</v>
      </c>
      <c r="M61" s="315" t="str">
        <f t="shared" ca="1" si="1"/>
        <v>Species-rich native hedgerow with trees</v>
      </c>
      <c r="N61" s="362" t="str">
        <f ca="1">IFERROR(IF(B61="","",INDEX('G-6 Hedgerow Data'!$AN$3:$AZ$15,MATCH(C61,'G-6 Hedgerow Data'!$AM$3:$AM$15,0),MATCH(M61,'G-6 Hedgerow Data'!$AN$2:$AZ$2,0))),"")</f>
        <v>High - High</v>
      </c>
      <c r="O61" s="363" t="str">
        <f t="shared" ca="1" si="2"/>
        <v>Error - No enhancement ▲</v>
      </c>
      <c r="P61" s="417">
        <f>IF(B61="","",VLOOKUP(B61,'B-1 On-Site Hedge Baseline'!$B$10:T306,16,FALSE))</f>
        <v>3.2599999999999997E-2</v>
      </c>
      <c r="Q61" s="362" t="str">
        <f ca="1">IF(M61="","",VLOOKUP(M61,'G-6 Hedgerow Data'!$B$2:$AG$15,2,FALSE))</f>
        <v>High</v>
      </c>
      <c r="R61" s="363">
        <f ca="1">IF(M61="","",VLOOKUP(M61,'G-6 Hedgerow Data'!$B$2:$AG$15,3,FALSE))</f>
        <v>6</v>
      </c>
      <c r="S61" s="125" t="s">
        <v>68</v>
      </c>
      <c r="T61" s="401">
        <f>IFERROR(VLOOKUP(S61,'G-1 All Habitats'!$Z$2:$AA$9,2,FALSE),"")</f>
        <v>3</v>
      </c>
      <c r="U61" s="122" t="s">
        <v>1029</v>
      </c>
      <c r="V61" s="382" t="str">
        <f>IF(U61="","",IF(VLOOKUP(U61,'G-3 Multipliers'!$L$3:$N$6,2,FALSE)=0,"Spatial Data Missing ⚠",VLOOKUP(U61,'G-3 Multipliers'!$L$3:$N$6,2,FALSE)))</f>
        <v xml:space="preserve">High strategic significance </v>
      </c>
      <c r="W61" s="386">
        <f>IF(U61="","",IF(VLOOKUP(U61,'G-3 Multipliers'!$L$3:$N$6,3,FALSE)=0,"Spatial Data Missing ⚠",VLOOKUP(U61,'G-3 Multipliers'!$L$3:$N$6,3,FALSE)))</f>
        <v>1.1499999999999999</v>
      </c>
      <c r="X61" s="362" t="str">
        <f ca="1">IFERROR(IF(OR(LEFT(O61,5)="Error",LEFT(N61,5)="Error",T61="Error"),"Check Data ⚠",IF(F61&lt;R61,INDEX('G-6 Hedgerow Data'!$S$3:$AE$14,MATCH(C61,'G-6 Hedgerow Data'!$B$3:$B$14,0),MATCH(M61,'G-6 Hedgerow Data'!$S$2:$AE$2,0)),INDEX('G-6 Hedgerow Data'!$K$3:$Q$14,MATCH(M61,'G-6 Hedgerow Data'!$B$3:$B$14,0),MATCH(O61,'G-6 Hedgerow Data'!$K$2:$Q$2,0)))),"")</f>
        <v>Check Data ⚠</v>
      </c>
      <c r="Y61" s="159"/>
      <c r="Z61" s="159"/>
      <c r="AA61" s="370" t="str">
        <f t="shared" ca="1" si="3"/>
        <v>Check Data ⚠</v>
      </c>
      <c r="AB61" s="383" t="str">
        <f t="shared" ca="1" si="4"/>
        <v>Check Data ⚠</v>
      </c>
      <c r="AC61" s="384" t="str">
        <f t="shared" ca="1" si="0"/>
        <v>Check Data ⚠</v>
      </c>
      <c r="AD61" s="398" t="str">
        <f ca="1">IF(M61="","",VLOOKUP(M61,'G-6 Hedgerow Data'!$B$3:$AG$15,31,FALSE))</f>
        <v>Low</v>
      </c>
      <c r="AE61" s="370" t="str">
        <f t="shared" ca="1" si="5"/>
        <v>Check Data ⚠</v>
      </c>
      <c r="AF61" s="370" t="str">
        <f t="shared" ca="1" si="6"/>
        <v>Low</v>
      </c>
      <c r="AG61" s="386">
        <f ca="1">IFERROR(IF(O61="","",VLOOKUP(AD61,'G-3 Multipliers'!$P$3:$Q$6,2,FALSE)),"")</f>
        <v>1</v>
      </c>
      <c r="AH61" s="376" t="str">
        <f t="shared" ca="1" si="7"/>
        <v/>
      </c>
      <c r="AI61" s="188"/>
      <c r="AJ61" s="118"/>
      <c r="AK61" s="120"/>
      <c r="AT61" s="30" t="str">
        <f ca="1">IFERROR(INDEX('G-6 Hedgerow Data'!$BJ$3:$BJ$15,MATCH(M61,'G-6 Hedgerow Data'!$B$3:$B$15,0)),"")</f>
        <v>Hedgecond1</v>
      </c>
    </row>
    <row r="62" spans="2:46" ht="28.5" x14ac:dyDescent="0.2">
      <c r="B62" s="392">
        <f>'B-1 On-Site Hedge Baseline'!AK60</f>
        <v>137</v>
      </c>
      <c r="C62" s="382" t="str">
        <f ca="1">IF(B62="","",IF(ISNA(VLOOKUP($B62,'B-1 On-Site Hedge Baseline'!$B$1:$L$257,3,FALSE)),"",(VLOOKUP($B62,'B-1 On-Site Hedge Baseline'!$B$1:$L$257,3,FALSE))))</f>
        <v>Native hedgerow with trees</v>
      </c>
      <c r="D62" s="382">
        <f ca="1">IF(B62="","",IF(ISNA(VLOOKUP($B62,'B-1 On-Site Hedge Baseline'!$B$1:$L$257,4,FALSE)),"",(VLOOKUP($B62,'B-1 On-Site Hedge Baseline'!$B$1:$L$257,4,FALSE))))</f>
        <v>0.73240000000000005</v>
      </c>
      <c r="E62" s="382" t="str">
        <f ca="1">IF(B62="","",IF(ISNA(VLOOKUP($B62,'B-1 On-Site Hedge Baseline'!$B$1:$L$257,5,FALSE)),"",(VLOOKUP($B62,'B-1 On-Site Hedge Baseline'!$B$1:$L$257,5,FALSE))))</f>
        <v>Medium</v>
      </c>
      <c r="F62" s="382">
        <f ca="1">IF(B62="","",IF(ISNA(VLOOKUP($B62,'B-1 On-Site Hedge Baseline'!$B$1:$L$257,6,FALSE)),"",(VLOOKUP($B62,'B-1 On-Site Hedge Baseline'!$B$1:$L$257,6,FALSE))))</f>
        <v>4</v>
      </c>
      <c r="G62" s="382" t="str">
        <f ca="1">IF(B62="","",IF(ISNA(VLOOKUP($B62,'B-1 On-Site Hedge Baseline'!$B$1:$L$257,7,FALSE)),"",(VLOOKUP($B62,'B-1 On-Site Hedge Baseline'!$B$1:$L$257,7,FALSE))))</f>
        <v>Poor</v>
      </c>
      <c r="H62" s="382">
        <f ca="1">IF(B62="","",IF(ISNA(VLOOKUP($B62,'B-1 On-Site Hedge Baseline'!$B$1:$L$257,8,FALSE)),"",(VLOOKUP($B62,'B-1 On-Site Hedge Baseline'!$B$1:$L$257,8,FALSE))))</f>
        <v>1</v>
      </c>
      <c r="I62" s="382" t="str">
        <f ca="1">IF(B62="","",IF(ISNA(VLOOKUP($B62,'B-1 On-Site Hedge Baseline'!$B$1:$L$257,10,FALSE)),"",(VLOOKUP($B62,'B-1 On-Site Hedge Baseline'!$B$1:$L$257,10,FALSE))))</f>
        <v>Low Strategic Significance</v>
      </c>
      <c r="J62" s="382">
        <f ca="1">IF(B62="","",IF(ISNA(VLOOKUP($B62,'B-1 On-Site Hedge Baseline'!$B$1:$L$257,11,FALSE)),"",(VLOOKUP($B62,'B-1 On-Site Hedge Baseline'!$B$1:$L$257,11,FALSE))))</f>
        <v>1</v>
      </c>
      <c r="K62" s="382">
        <f ca="1">IF(B62="","",IF(ISNA(VLOOKUP($B62,'B-1 On-Site Hedge Baseline'!$B$1:$U$257,13,FALSE)),"",(VLOOKUP($B62,'B-1 On-Site Hedge Baseline'!$B$1:$U$257,13,FALSE))))</f>
        <v>2.9296000000000002</v>
      </c>
      <c r="L62" s="386" t="str">
        <f ca="1">IF(B62="","",IF(ISNA(VLOOKUP($B62,'B-1 On-Site Hedge Baseline'!$B$1:$U$257,12,FALSE)),"",(VLOOKUP($B62,'B-1 On-Site Hedge Baseline'!$B$1:$U$257,12,FALSE))))</f>
        <v>Same distinctiveness band or better</v>
      </c>
      <c r="M62" s="315" t="s">
        <v>168</v>
      </c>
      <c r="N62" s="362" t="str">
        <f ca="1">IFERROR(IF(B62="","",INDEX('G-6 Hedgerow Data'!$AN$3:$AZ$15,MATCH(C62,'G-6 Hedgerow Data'!$AM$3:$AM$15,0),MATCH(M62,'G-6 Hedgerow Data'!$AN$2:$AZ$2,0))),"")</f>
        <v>Medium - High</v>
      </c>
      <c r="O62" s="363" t="str">
        <f t="shared" ca="1" si="2"/>
        <v>Lower Distinctiveness Habitat - Good</v>
      </c>
      <c r="P62" s="417">
        <f>IF(B62="","",VLOOKUP(B62,'B-1 On-Site Hedge Baseline'!$B$10:T307,16,FALSE))</f>
        <v>0.4365</v>
      </c>
      <c r="Q62" s="362" t="str">
        <f>IF(M62="","",VLOOKUP(M62,'G-6 Hedgerow Data'!$B$2:$AG$15,2,FALSE))</f>
        <v>High</v>
      </c>
      <c r="R62" s="363">
        <f>IF(M62="","",VLOOKUP(M62,'G-6 Hedgerow Data'!$B$2:$AG$15,3,FALSE))</f>
        <v>6</v>
      </c>
      <c r="S62" s="125" t="s">
        <v>68</v>
      </c>
      <c r="T62" s="401">
        <f>IFERROR(VLOOKUP(S62,'G-1 All Habitats'!$Z$2:$AA$9,2,FALSE),"")</f>
        <v>3</v>
      </c>
      <c r="U62" s="122" t="s">
        <v>1037</v>
      </c>
      <c r="V62" s="382" t="str">
        <f>IF(U62="","",IF(VLOOKUP(U62,'G-3 Multipliers'!$L$3:$N$6,2,FALSE)=0,"Spatial Data Missing ⚠",VLOOKUP(U62,'G-3 Multipliers'!$L$3:$N$6,2,FALSE)))</f>
        <v>Low Strategic Significance</v>
      </c>
      <c r="W62" s="386">
        <f>IF(U62="","",IF(VLOOKUP(U62,'G-3 Multipliers'!$L$3:$N$6,3,FALSE)=0,"Spatial Data Missing ⚠",VLOOKUP(U62,'G-3 Multipliers'!$L$3:$N$6,3,FALSE)))</f>
        <v>1</v>
      </c>
      <c r="X62" s="362">
        <f ca="1">IFERROR(IF(OR(LEFT(O62,5)="Error",LEFT(N62,5)="Error",T62="Error"),"Check Data ⚠",IF(F62&lt;R62,INDEX('G-6 Hedgerow Data'!$S$3:$AE$14,MATCH(C62,'G-6 Hedgerow Data'!$B$3:$B$14,0),MATCH(M62,'G-6 Hedgerow Data'!$S$2:$AE$2,0)),INDEX('G-6 Hedgerow Data'!$K$3:$Q$14,MATCH(M62,'G-6 Hedgerow Data'!$B$3:$B$14,0),MATCH(O62,'G-6 Hedgerow Data'!$K$2:$Q$2,0)))),"")</f>
        <v>5</v>
      </c>
      <c r="Y62" s="159"/>
      <c r="Z62" s="159"/>
      <c r="AA62" s="370" t="str">
        <f t="shared" ca="1" si="3"/>
        <v>Standard time to target condition applied</v>
      </c>
      <c r="AB62" s="383">
        <f t="shared" ca="1" si="4"/>
        <v>5</v>
      </c>
      <c r="AC62" s="384">
        <f t="shared" ca="1" si="0"/>
        <v>0.83682870060000003</v>
      </c>
      <c r="AD62" s="398" t="str">
        <f>IF(M62="","",VLOOKUP(M62,'G-6 Hedgerow Data'!$B$3:$AG$15,31,FALSE))</f>
        <v>Low</v>
      </c>
      <c r="AE62" s="370" t="str">
        <f t="shared" ca="1" si="5"/>
        <v>Standard difficulty applied</v>
      </c>
      <c r="AF62" s="370" t="str">
        <f t="shared" ca="1" si="6"/>
        <v>Low</v>
      </c>
      <c r="AG62" s="386">
        <f ca="1">IFERROR(IF(O62="","",VLOOKUP(AD62,'G-3 Multipliers'!$P$3:$Q$6,2,FALSE)),"")</f>
        <v>1</v>
      </c>
      <c r="AH62" s="376">
        <f t="shared" ca="1" si="7"/>
        <v>6.8598601893666</v>
      </c>
      <c r="AI62" s="188"/>
      <c r="AJ62" s="118"/>
      <c r="AK62" s="120"/>
      <c r="AT62" s="30" t="str">
        <f>IFERROR(INDEX('G-6 Hedgerow Data'!$BJ$3:$BJ$15,MATCH(M62,'G-6 Hedgerow Data'!$B$3:$B$15,0)),"")</f>
        <v>Hedgecond1</v>
      </c>
    </row>
    <row r="63" spans="2:46" ht="28.5" x14ac:dyDescent="0.2">
      <c r="B63" s="392">
        <f>'B-1 On-Site Hedge Baseline'!AK61</f>
        <v>152</v>
      </c>
      <c r="C63" s="382" t="str">
        <f ca="1">IF(B63="","",IF(ISNA(VLOOKUP($B63,'B-1 On-Site Hedge Baseline'!$B$1:$L$257,3,FALSE)),"",(VLOOKUP($B63,'B-1 On-Site Hedge Baseline'!$B$1:$L$257,3,FALSE))))</f>
        <v>Species-rich native hedgerow with trees</v>
      </c>
      <c r="D63" s="382">
        <f ca="1">IF(B63="","",IF(ISNA(VLOOKUP($B63,'B-1 On-Site Hedge Baseline'!$B$1:$L$257,4,FALSE)),"",(VLOOKUP($B63,'B-1 On-Site Hedge Baseline'!$B$1:$L$257,4,FALSE))))</f>
        <v>0.33539999999999998</v>
      </c>
      <c r="E63" s="382" t="str">
        <f ca="1">IF(B63="","",IF(ISNA(VLOOKUP($B63,'B-1 On-Site Hedge Baseline'!$B$1:$L$257,5,FALSE)),"",(VLOOKUP($B63,'B-1 On-Site Hedge Baseline'!$B$1:$L$257,5,FALSE))))</f>
        <v>High</v>
      </c>
      <c r="F63" s="382">
        <f ca="1">IF(B63="","",IF(ISNA(VLOOKUP($B63,'B-1 On-Site Hedge Baseline'!$B$1:$L$257,6,FALSE)),"",(VLOOKUP($B63,'B-1 On-Site Hedge Baseline'!$B$1:$L$257,6,FALSE))))</f>
        <v>6</v>
      </c>
      <c r="G63" s="382" t="str">
        <f ca="1">IF(B63="","",IF(ISNA(VLOOKUP($B63,'B-1 On-Site Hedge Baseline'!$B$1:$L$257,7,FALSE)),"",(VLOOKUP($B63,'B-1 On-Site Hedge Baseline'!$B$1:$L$257,7,FALSE))))</f>
        <v>Poor</v>
      </c>
      <c r="H63" s="382">
        <f ca="1">IF(B63="","",IF(ISNA(VLOOKUP($B63,'B-1 On-Site Hedge Baseline'!$B$1:$L$257,8,FALSE)),"",(VLOOKUP($B63,'B-1 On-Site Hedge Baseline'!$B$1:$L$257,8,FALSE))))</f>
        <v>1</v>
      </c>
      <c r="I63" s="382" t="str">
        <f ca="1">IF(B63="","",IF(ISNA(VLOOKUP($B63,'B-1 On-Site Hedge Baseline'!$B$1:$L$257,10,FALSE)),"",(VLOOKUP($B63,'B-1 On-Site Hedge Baseline'!$B$1:$L$257,10,FALSE))))</f>
        <v xml:space="preserve">High strategic significance </v>
      </c>
      <c r="J63" s="382">
        <f ca="1">IF(B63="","",IF(ISNA(VLOOKUP($B63,'B-1 On-Site Hedge Baseline'!$B$1:$L$257,11,FALSE)),"",(VLOOKUP($B63,'B-1 On-Site Hedge Baseline'!$B$1:$L$257,11,FALSE))))</f>
        <v>1.1499999999999999</v>
      </c>
      <c r="K63" s="382">
        <f ca="1">IF(B63="","",IF(ISNA(VLOOKUP($B63,'B-1 On-Site Hedge Baseline'!$B$1:$U$257,13,FALSE)),"",(VLOOKUP($B63,'B-1 On-Site Hedge Baseline'!$B$1:$U$257,13,FALSE))))</f>
        <v>2.31426</v>
      </c>
      <c r="L63" s="386" t="str">
        <f ca="1">IF(B63="","",IF(ISNA(VLOOKUP($B63,'B-1 On-Site Hedge Baseline'!$B$1:$U$257,12,FALSE)),"",(VLOOKUP($B63,'B-1 On-Site Hedge Baseline'!$B$1:$U$257,12,FALSE))))</f>
        <v>Like for like or better</v>
      </c>
      <c r="M63" s="315" t="str">
        <f t="shared" ca="1" si="1"/>
        <v>Species-rich native hedgerow with trees</v>
      </c>
      <c r="N63" s="362" t="str">
        <f ca="1">IFERROR(IF(B63="","",INDEX('G-6 Hedgerow Data'!$AN$3:$AZ$15,MATCH(C63,'G-6 Hedgerow Data'!$AM$3:$AM$15,0),MATCH(M63,'G-6 Hedgerow Data'!$AN$2:$AZ$2,0))),"")</f>
        <v>High - High</v>
      </c>
      <c r="O63" s="363" t="str">
        <f t="shared" ca="1" si="2"/>
        <v>Poor - Good</v>
      </c>
      <c r="P63" s="417">
        <f>IF(B63="","",VLOOKUP(B63,'B-1 On-Site Hedge Baseline'!$B$10:T308,16,FALSE))</f>
        <v>0.36149999999999999</v>
      </c>
      <c r="Q63" s="362" t="str">
        <f ca="1">IF(M63="","",VLOOKUP(M63,'G-6 Hedgerow Data'!$B$2:$AG$15,2,FALSE))</f>
        <v>High</v>
      </c>
      <c r="R63" s="363">
        <f ca="1">IF(M63="","",VLOOKUP(M63,'G-6 Hedgerow Data'!$B$2:$AG$15,3,FALSE))</f>
        <v>6</v>
      </c>
      <c r="S63" s="125" t="s">
        <v>68</v>
      </c>
      <c r="T63" s="401">
        <f>IFERROR(VLOOKUP(S63,'G-1 All Habitats'!$Z$2:$AA$9,2,FALSE),"")</f>
        <v>3</v>
      </c>
      <c r="U63" s="122" t="s">
        <v>1029</v>
      </c>
      <c r="V63" s="382" t="str">
        <f>IF(U63="","",IF(VLOOKUP(U63,'G-3 Multipliers'!$L$3:$N$6,2,FALSE)=0,"Spatial Data Missing ⚠",VLOOKUP(U63,'G-3 Multipliers'!$L$3:$N$6,2,FALSE)))</f>
        <v xml:space="preserve">High strategic significance </v>
      </c>
      <c r="W63" s="386">
        <f>IF(U63="","",IF(VLOOKUP(U63,'G-3 Multipliers'!$L$3:$N$6,3,FALSE)=0,"Spatial Data Missing ⚠",VLOOKUP(U63,'G-3 Multipliers'!$L$3:$N$6,3,FALSE)))</f>
        <v>1.1499999999999999</v>
      </c>
      <c r="X63" s="362">
        <f ca="1">IFERROR(IF(OR(LEFT(O63,5)="Error",LEFT(N63,5)="Error",T63="Error"),"Check Data ⚠",IF(F63&lt;R63,INDEX('G-6 Hedgerow Data'!$S$3:$AE$14,MATCH(C63,'G-6 Hedgerow Data'!$B$3:$B$14,0),MATCH(M63,'G-6 Hedgerow Data'!$S$2:$AE$2,0)),INDEX('G-6 Hedgerow Data'!$K$3:$Q$14,MATCH(M63,'G-6 Hedgerow Data'!$B$3:$B$14,0),MATCH(O63,'G-6 Hedgerow Data'!$K$2:$Q$2,0)))),"")</f>
        <v>10</v>
      </c>
      <c r="Y63" s="159"/>
      <c r="Z63" s="159"/>
      <c r="AA63" s="370" t="str">
        <f t="shared" ca="1" si="3"/>
        <v>Standard time to target condition applied</v>
      </c>
      <c r="AB63" s="383">
        <f t="shared" ca="1" si="4"/>
        <v>10</v>
      </c>
      <c r="AC63" s="384">
        <f t="shared" ca="1" si="0"/>
        <v>0.70028227419999989</v>
      </c>
      <c r="AD63" s="398" t="str">
        <f ca="1">IF(M63="","",VLOOKUP(M63,'G-6 Hedgerow Data'!$B$3:$AG$15,31,FALSE))</f>
        <v>Low</v>
      </c>
      <c r="AE63" s="370" t="str">
        <f t="shared" ca="1" si="5"/>
        <v>Standard difficulty applied</v>
      </c>
      <c r="AF63" s="370" t="str">
        <f t="shared" ca="1" si="6"/>
        <v>Low</v>
      </c>
      <c r="AG63" s="386">
        <f ca="1">IFERROR(IF(O63="","",VLOOKUP(AD63,'G-3 Multipliers'!$P$3:$Q$6,2,FALSE)),"")</f>
        <v>1</v>
      </c>
      <c r="AH63" s="376">
        <f t="shared" ca="1" si="7"/>
        <v>5.9878481813015378</v>
      </c>
      <c r="AI63" s="188"/>
      <c r="AJ63" s="118"/>
      <c r="AK63" s="120"/>
      <c r="AT63" s="30" t="str">
        <f ca="1">IFERROR(INDEX('G-6 Hedgerow Data'!$BJ$3:$BJ$15,MATCH(M63,'G-6 Hedgerow Data'!$B$3:$B$15,0)),"")</f>
        <v>Hedgecond1</v>
      </c>
    </row>
    <row r="64" spans="2:46" ht="28.5" x14ac:dyDescent="0.2">
      <c r="B64" s="392">
        <f>'B-1 On-Site Hedge Baseline'!AK62</f>
        <v>153</v>
      </c>
      <c r="C64" s="382" t="str">
        <f ca="1">IF(B64="","",IF(ISNA(VLOOKUP($B64,'B-1 On-Site Hedge Baseline'!$B$1:$L$257,3,FALSE)),"",(VLOOKUP($B64,'B-1 On-Site Hedge Baseline'!$B$1:$L$257,3,FALSE))))</f>
        <v>Native hedgerow with trees</v>
      </c>
      <c r="D64" s="382">
        <f ca="1">IF(B64="","",IF(ISNA(VLOOKUP($B64,'B-1 On-Site Hedge Baseline'!$B$1:$L$257,4,FALSE)),"",(VLOOKUP($B64,'B-1 On-Site Hedge Baseline'!$B$1:$L$257,4,FALSE))))</f>
        <v>0.25940000000000002</v>
      </c>
      <c r="E64" s="382" t="str">
        <f ca="1">IF(B64="","",IF(ISNA(VLOOKUP($B64,'B-1 On-Site Hedge Baseline'!$B$1:$L$257,5,FALSE)),"",(VLOOKUP($B64,'B-1 On-Site Hedge Baseline'!$B$1:$L$257,5,FALSE))))</f>
        <v>Medium</v>
      </c>
      <c r="F64" s="382">
        <f ca="1">IF(B64="","",IF(ISNA(VLOOKUP($B64,'B-1 On-Site Hedge Baseline'!$B$1:$L$257,6,FALSE)),"",(VLOOKUP($B64,'B-1 On-Site Hedge Baseline'!$B$1:$L$257,6,FALSE))))</f>
        <v>4</v>
      </c>
      <c r="G64" s="382" t="str">
        <f ca="1">IF(B64="","",IF(ISNA(VLOOKUP($B64,'B-1 On-Site Hedge Baseline'!$B$1:$L$257,7,FALSE)),"",(VLOOKUP($B64,'B-1 On-Site Hedge Baseline'!$B$1:$L$257,7,FALSE))))</f>
        <v>Poor</v>
      </c>
      <c r="H64" s="382">
        <f ca="1">IF(B64="","",IF(ISNA(VLOOKUP($B64,'B-1 On-Site Hedge Baseline'!$B$1:$L$257,8,FALSE)),"",(VLOOKUP($B64,'B-1 On-Site Hedge Baseline'!$B$1:$L$257,8,FALSE))))</f>
        <v>1</v>
      </c>
      <c r="I64" s="382" t="str">
        <f ca="1">IF(B64="","",IF(ISNA(VLOOKUP($B64,'B-1 On-Site Hedge Baseline'!$B$1:$L$257,10,FALSE)),"",(VLOOKUP($B64,'B-1 On-Site Hedge Baseline'!$B$1:$L$257,10,FALSE))))</f>
        <v xml:space="preserve">High strategic significance </v>
      </c>
      <c r="J64" s="382">
        <f ca="1">IF(B64="","",IF(ISNA(VLOOKUP($B64,'B-1 On-Site Hedge Baseline'!$B$1:$L$257,11,FALSE)),"",(VLOOKUP($B64,'B-1 On-Site Hedge Baseline'!$B$1:$L$257,11,FALSE))))</f>
        <v>1.1499999999999999</v>
      </c>
      <c r="K64" s="382">
        <f ca="1">IF(B64="","",IF(ISNA(VLOOKUP($B64,'B-1 On-Site Hedge Baseline'!$B$1:$U$257,13,FALSE)),"",(VLOOKUP($B64,'B-1 On-Site Hedge Baseline'!$B$1:$U$257,13,FALSE))))</f>
        <v>1.1932400000000001</v>
      </c>
      <c r="L64" s="386" t="str">
        <f ca="1">IF(B64="","",IF(ISNA(VLOOKUP($B64,'B-1 On-Site Hedge Baseline'!$B$1:$U$257,12,FALSE)),"",(VLOOKUP($B64,'B-1 On-Site Hedge Baseline'!$B$1:$U$257,12,FALSE))))</f>
        <v>Same distinctiveness band or better</v>
      </c>
      <c r="M64" s="315" t="s">
        <v>168</v>
      </c>
      <c r="N64" s="362" t="str">
        <f ca="1">IFERROR(IF(B64="","",INDEX('G-6 Hedgerow Data'!$AN$3:$AZ$15,MATCH(C64,'G-6 Hedgerow Data'!$AM$3:$AM$15,0),MATCH(M64,'G-6 Hedgerow Data'!$AN$2:$AZ$2,0))),"")</f>
        <v>Medium - High</v>
      </c>
      <c r="O64" s="363" t="str">
        <f t="shared" ca="1" si="2"/>
        <v>Lower Distinctiveness Habitat - Good</v>
      </c>
      <c r="P64" s="417">
        <f>IF(B64="","",VLOOKUP(B64,'B-1 On-Site Hedge Baseline'!$B$10:T309,16,FALSE))</f>
        <v>0.1037</v>
      </c>
      <c r="Q64" s="362" t="str">
        <f>IF(M64="","",VLOOKUP(M64,'G-6 Hedgerow Data'!$B$2:$AG$15,2,FALSE))</f>
        <v>High</v>
      </c>
      <c r="R64" s="363">
        <f>IF(M64="","",VLOOKUP(M64,'G-6 Hedgerow Data'!$B$2:$AG$15,3,FALSE))</f>
        <v>6</v>
      </c>
      <c r="S64" s="125" t="s">
        <v>68</v>
      </c>
      <c r="T64" s="401">
        <f>IFERROR(VLOOKUP(S64,'G-1 All Habitats'!$Z$2:$AA$9,2,FALSE),"")</f>
        <v>3</v>
      </c>
      <c r="U64" s="122" t="s">
        <v>1029</v>
      </c>
      <c r="V64" s="382" t="str">
        <f>IF(U64="","",IF(VLOOKUP(U64,'G-3 Multipliers'!$L$3:$N$6,2,FALSE)=0,"Spatial Data Missing ⚠",VLOOKUP(U64,'G-3 Multipliers'!$L$3:$N$6,2,FALSE)))</f>
        <v xml:space="preserve">High strategic significance </v>
      </c>
      <c r="W64" s="386">
        <f>IF(U64="","",IF(VLOOKUP(U64,'G-3 Multipliers'!$L$3:$N$6,3,FALSE)=0,"Spatial Data Missing ⚠",VLOOKUP(U64,'G-3 Multipliers'!$L$3:$N$6,3,FALSE)))</f>
        <v>1.1499999999999999</v>
      </c>
      <c r="X64" s="362">
        <f ca="1">IFERROR(IF(OR(LEFT(O64,5)="Error",LEFT(N64,5)="Error",T64="Error"),"Check Data ⚠",IF(F64&lt;R64,INDEX('G-6 Hedgerow Data'!$S$3:$AE$14,MATCH(C64,'G-6 Hedgerow Data'!$B$3:$B$14,0),MATCH(M64,'G-6 Hedgerow Data'!$S$2:$AE$2,0)),INDEX('G-6 Hedgerow Data'!$K$3:$Q$14,MATCH(M64,'G-6 Hedgerow Data'!$B$3:$B$14,0),MATCH(O64,'G-6 Hedgerow Data'!$K$2:$Q$2,0)))),"")</f>
        <v>5</v>
      </c>
      <c r="Y64" s="159"/>
      <c r="Z64" s="159"/>
      <c r="AA64" s="370" t="str">
        <f t="shared" ca="1" si="3"/>
        <v>Standard time to target condition applied</v>
      </c>
      <c r="AB64" s="383">
        <f t="shared" ca="1" si="4"/>
        <v>5</v>
      </c>
      <c r="AC64" s="384">
        <f t="shared" ca="1" si="0"/>
        <v>0.83682870060000003</v>
      </c>
      <c r="AD64" s="398" t="str">
        <f>IF(M64="","",VLOOKUP(M64,'G-6 Hedgerow Data'!$B$3:$AG$15,31,FALSE))</f>
        <v>Low</v>
      </c>
      <c r="AE64" s="370" t="str">
        <f t="shared" ca="1" si="5"/>
        <v>Standard difficulty applied</v>
      </c>
      <c r="AF64" s="370" t="str">
        <f t="shared" ca="1" si="6"/>
        <v>Low</v>
      </c>
      <c r="AG64" s="386">
        <f ca="1">IFERROR(IF(O64="","",VLOOKUP(AD64,'G-3 Multipliers'!$P$3:$Q$6,2,FALSE)),"")</f>
        <v>1</v>
      </c>
      <c r="AH64" s="376">
        <f t="shared" ca="1" si="7"/>
        <v>1.874164093660742</v>
      </c>
      <c r="AI64" s="188"/>
      <c r="AJ64" s="118"/>
      <c r="AK64" s="120"/>
      <c r="AT64" s="30" t="str">
        <f>IFERROR(INDEX('G-6 Hedgerow Data'!$BJ$3:$BJ$15,MATCH(M64,'G-6 Hedgerow Data'!$B$3:$B$15,0)),"")</f>
        <v>Hedgecond1</v>
      </c>
    </row>
    <row r="65" spans="2:46" ht="28.5" x14ac:dyDescent="0.2">
      <c r="B65" s="392">
        <f>'B-1 On-Site Hedge Baseline'!AK63</f>
        <v>156</v>
      </c>
      <c r="C65" s="382" t="str">
        <f ca="1">IF(B65="","",IF(ISNA(VLOOKUP($B65,'B-1 On-Site Hedge Baseline'!$B$1:$L$257,3,FALSE)),"",(VLOOKUP($B65,'B-1 On-Site Hedge Baseline'!$B$1:$L$257,3,FALSE))))</f>
        <v>Native hedgerow</v>
      </c>
      <c r="D65" s="382">
        <f ca="1">IF(B65="","",IF(ISNA(VLOOKUP($B65,'B-1 On-Site Hedge Baseline'!$B$1:$L$257,4,FALSE)),"",(VLOOKUP($B65,'B-1 On-Site Hedge Baseline'!$B$1:$L$257,4,FALSE))))</f>
        <v>0.49959999999999999</v>
      </c>
      <c r="E65" s="382" t="str">
        <f ca="1">IF(B65="","",IF(ISNA(VLOOKUP($B65,'B-1 On-Site Hedge Baseline'!$B$1:$L$257,5,FALSE)),"",(VLOOKUP($B65,'B-1 On-Site Hedge Baseline'!$B$1:$L$257,5,FALSE))))</f>
        <v>Low</v>
      </c>
      <c r="F65" s="382">
        <f ca="1">IF(B65="","",IF(ISNA(VLOOKUP($B65,'B-1 On-Site Hedge Baseline'!$B$1:$L$257,6,FALSE)),"",(VLOOKUP($B65,'B-1 On-Site Hedge Baseline'!$B$1:$L$257,6,FALSE))))</f>
        <v>2</v>
      </c>
      <c r="G65" s="382" t="str">
        <f ca="1">IF(B65="","",IF(ISNA(VLOOKUP($B65,'B-1 On-Site Hedge Baseline'!$B$1:$L$257,7,FALSE)),"",(VLOOKUP($B65,'B-1 On-Site Hedge Baseline'!$B$1:$L$257,7,FALSE))))</f>
        <v>Good</v>
      </c>
      <c r="H65" s="382">
        <f ca="1">IF(B65="","",IF(ISNA(VLOOKUP($B65,'B-1 On-Site Hedge Baseline'!$B$1:$L$257,8,FALSE)),"",(VLOOKUP($B65,'B-1 On-Site Hedge Baseline'!$B$1:$L$257,8,FALSE))))</f>
        <v>3</v>
      </c>
      <c r="I65" s="382" t="str">
        <f ca="1">IF(B65="","",IF(ISNA(VLOOKUP($B65,'B-1 On-Site Hedge Baseline'!$B$1:$L$257,10,FALSE)),"",(VLOOKUP($B65,'B-1 On-Site Hedge Baseline'!$B$1:$L$257,10,FALSE))))</f>
        <v>Low Strategic Significance</v>
      </c>
      <c r="J65" s="382">
        <f ca="1">IF(B65="","",IF(ISNA(VLOOKUP($B65,'B-1 On-Site Hedge Baseline'!$B$1:$L$257,11,FALSE)),"",(VLOOKUP($B65,'B-1 On-Site Hedge Baseline'!$B$1:$L$257,11,FALSE))))</f>
        <v>1</v>
      </c>
      <c r="K65" s="382">
        <f ca="1">IF(B65="","",IF(ISNA(VLOOKUP($B65,'B-1 On-Site Hedge Baseline'!$B$1:$U$257,13,FALSE)),"",(VLOOKUP($B65,'B-1 On-Site Hedge Baseline'!$B$1:$U$257,13,FALSE))))</f>
        <v>2.9975999999999998</v>
      </c>
      <c r="L65" s="386" t="str">
        <f ca="1">IF(B65="","",IF(ISNA(VLOOKUP($B65,'B-1 On-Site Hedge Baseline'!$B$1:$U$257,12,FALSE)),"",(VLOOKUP($B65,'B-1 On-Site Hedge Baseline'!$B$1:$U$257,12,FALSE))))</f>
        <v>Same distinctiveness band or better</v>
      </c>
      <c r="M65" s="315" t="s">
        <v>171</v>
      </c>
      <c r="N65" s="362" t="str">
        <f ca="1">IFERROR(IF(B65="","",INDEX('G-6 Hedgerow Data'!$AN$3:$AZ$15,MATCH(C65,'G-6 Hedgerow Data'!$AM$3:$AM$15,0),MATCH(M65,'G-6 Hedgerow Data'!$AN$2:$AZ$2,0))),"")</f>
        <v>Low - Medium</v>
      </c>
      <c r="O65" s="363" t="str">
        <f t="shared" ca="1" si="2"/>
        <v>Lower Distinctiveness Habitat - Good</v>
      </c>
      <c r="P65" s="417">
        <f>IF(B65="","",VLOOKUP(B65,'B-1 On-Site Hedge Baseline'!$B$10:T310,16,FALSE))</f>
        <v>0.49959999999999999</v>
      </c>
      <c r="Q65" s="362" t="str">
        <f>IF(M65="","",VLOOKUP(M65,'G-6 Hedgerow Data'!$B$2:$AG$15,2,FALSE))</f>
        <v>Medium</v>
      </c>
      <c r="R65" s="363">
        <f>IF(M65="","",VLOOKUP(M65,'G-6 Hedgerow Data'!$B$2:$AG$15,3,FALSE))</f>
        <v>4</v>
      </c>
      <c r="S65" s="125" t="s">
        <v>68</v>
      </c>
      <c r="T65" s="401">
        <f>IFERROR(VLOOKUP(S65,'G-1 All Habitats'!$Z$2:$AA$9,2,FALSE),"")</f>
        <v>3</v>
      </c>
      <c r="U65" s="122" t="s">
        <v>1037</v>
      </c>
      <c r="V65" s="382" t="str">
        <f>IF(U65="","",IF(VLOOKUP(U65,'G-3 Multipliers'!$L$3:$N$6,2,FALSE)=0,"Spatial Data Missing ⚠",VLOOKUP(U65,'G-3 Multipliers'!$L$3:$N$6,2,FALSE)))</f>
        <v>Low Strategic Significance</v>
      </c>
      <c r="W65" s="386">
        <f>IF(U65="","",IF(VLOOKUP(U65,'G-3 Multipliers'!$L$3:$N$6,3,FALSE)=0,"Spatial Data Missing ⚠",VLOOKUP(U65,'G-3 Multipliers'!$L$3:$N$6,3,FALSE)))</f>
        <v>1</v>
      </c>
      <c r="X65" s="362">
        <f ca="1">IFERROR(IF(OR(LEFT(O65,5)="Error",LEFT(N65,5)="Error",T65="Error"),"Check Data ⚠",IF(F65&lt;R65,INDEX('G-6 Hedgerow Data'!$S$3:$AE$14,MATCH(C65,'G-6 Hedgerow Data'!$B$3:$B$14,0),MATCH(M65,'G-6 Hedgerow Data'!$S$2:$AE$2,0)),INDEX('G-6 Hedgerow Data'!$K$3:$Q$14,MATCH(M65,'G-6 Hedgerow Data'!$B$3:$B$14,0),MATCH(O65,'G-6 Hedgerow Data'!$K$2:$Q$2,0)))),"")</f>
        <v>5</v>
      </c>
      <c r="Y65" s="159"/>
      <c r="Z65" s="159"/>
      <c r="AA65" s="370" t="str">
        <f t="shared" ca="1" si="3"/>
        <v>Standard time to target condition applied</v>
      </c>
      <c r="AB65" s="383">
        <f t="shared" ca="1" si="4"/>
        <v>5</v>
      </c>
      <c r="AC65" s="384">
        <f t="shared" ca="1" si="0"/>
        <v>0.83682870060000003</v>
      </c>
      <c r="AD65" s="398" t="str">
        <f>IF(M65="","",VLOOKUP(M65,'G-6 Hedgerow Data'!$B$3:$AG$15,31,FALSE))</f>
        <v>Low</v>
      </c>
      <c r="AE65" s="370" t="str">
        <f t="shared" ca="1" si="5"/>
        <v>Standard difficulty applied</v>
      </c>
      <c r="AF65" s="370" t="str">
        <f t="shared" ca="1" si="6"/>
        <v>Low</v>
      </c>
      <c r="AG65" s="386">
        <f ca="1">IFERROR(IF(O65="","",VLOOKUP(AD65,'G-3 Multipliers'!$P$3:$Q$6,2,FALSE)),"")</f>
        <v>1</v>
      </c>
      <c r="AH65" s="376">
        <f t="shared" ca="1" si="7"/>
        <v>5.5060777129185592</v>
      </c>
      <c r="AI65" s="188"/>
      <c r="AJ65" s="118"/>
      <c r="AK65" s="120"/>
      <c r="AT65" s="30" t="str">
        <f>IFERROR(INDEX('G-6 Hedgerow Data'!$BJ$3:$BJ$15,MATCH(M65,'G-6 Hedgerow Data'!$B$3:$B$15,0)),"")</f>
        <v>Hedgecond1</v>
      </c>
    </row>
    <row r="66" spans="2:46" ht="28.5" x14ac:dyDescent="0.2">
      <c r="B66" s="392">
        <f>'B-1 On-Site Hedge Baseline'!AK64</f>
        <v>157</v>
      </c>
      <c r="C66" s="382" t="str">
        <f ca="1">IF(B66="","",IF(ISNA(VLOOKUP($B66,'B-1 On-Site Hedge Baseline'!$B$1:$L$257,3,FALSE)),"",(VLOOKUP($B66,'B-1 On-Site Hedge Baseline'!$B$1:$L$257,3,FALSE))))</f>
        <v>Native hedgerow with trees</v>
      </c>
      <c r="D66" s="382">
        <f ca="1">IF(B66="","",IF(ISNA(VLOOKUP($B66,'B-1 On-Site Hedge Baseline'!$B$1:$L$257,4,FALSE)),"",(VLOOKUP($B66,'B-1 On-Site Hedge Baseline'!$B$1:$L$257,4,FALSE))))</f>
        <v>0.1794</v>
      </c>
      <c r="E66" s="382" t="str">
        <f ca="1">IF(B66="","",IF(ISNA(VLOOKUP($B66,'B-1 On-Site Hedge Baseline'!$B$1:$L$257,5,FALSE)),"",(VLOOKUP($B66,'B-1 On-Site Hedge Baseline'!$B$1:$L$257,5,FALSE))))</f>
        <v>Medium</v>
      </c>
      <c r="F66" s="382">
        <f ca="1">IF(B66="","",IF(ISNA(VLOOKUP($B66,'B-1 On-Site Hedge Baseline'!$B$1:$L$257,6,FALSE)),"",(VLOOKUP($B66,'B-1 On-Site Hedge Baseline'!$B$1:$L$257,6,FALSE))))</f>
        <v>4</v>
      </c>
      <c r="G66" s="382" t="str">
        <f ca="1">IF(B66="","",IF(ISNA(VLOOKUP($B66,'B-1 On-Site Hedge Baseline'!$B$1:$L$257,7,FALSE)),"",(VLOOKUP($B66,'B-1 On-Site Hedge Baseline'!$B$1:$L$257,7,FALSE))))</f>
        <v>Poor</v>
      </c>
      <c r="H66" s="382">
        <f ca="1">IF(B66="","",IF(ISNA(VLOOKUP($B66,'B-1 On-Site Hedge Baseline'!$B$1:$L$257,8,FALSE)),"",(VLOOKUP($B66,'B-1 On-Site Hedge Baseline'!$B$1:$L$257,8,FALSE))))</f>
        <v>1</v>
      </c>
      <c r="I66" s="382" t="str">
        <f ca="1">IF(B66="","",IF(ISNA(VLOOKUP($B66,'B-1 On-Site Hedge Baseline'!$B$1:$L$257,10,FALSE)),"",(VLOOKUP($B66,'B-1 On-Site Hedge Baseline'!$B$1:$L$257,10,FALSE))))</f>
        <v>Low Strategic Significance</v>
      </c>
      <c r="J66" s="382">
        <f ca="1">IF(B66="","",IF(ISNA(VLOOKUP($B66,'B-1 On-Site Hedge Baseline'!$B$1:$L$257,11,FALSE)),"",(VLOOKUP($B66,'B-1 On-Site Hedge Baseline'!$B$1:$L$257,11,FALSE))))</f>
        <v>1</v>
      </c>
      <c r="K66" s="382">
        <f ca="1">IF(B66="","",IF(ISNA(VLOOKUP($B66,'B-1 On-Site Hedge Baseline'!$B$1:$U$257,13,FALSE)),"",(VLOOKUP($B66,'B-1 On-Site Hedge Baseline'!$B$1:$U$257,13,FALSE))))</f>
        <v>0.71760000000000002</v>
      </c>
      <c r="L66" s="386" t="str">
        <f ca="1">IF(B66="","",IF(ISNA(VLOOKUP($B66,'B-1 On-Site Hedge Baseline'!$B$1:$U$257,12,FALSE)),"",(VLOOKUP($B66,'B-1 On-Site Hedge Baseline'!$B$1:$U$257,12,FALSE))))</f>
        <v>Same distinctiveness band or better</v>
      </c>
      <c r="M66" s="315" t="s">
        <v>168</v>
      </c>
      <c r="N66" s="362" t="str">
        <f ca="1">IFERROR(IF(B66="","",INDEX('G-6 Hedgerow Data'!$AN$3:$AZ$15,MATCH(C66,'G-6 Hedgerow Data'!$AM$3:$AM$15,0),MATCH(M66,'G-6 Hedgerow Data'!$AN$2:$AZ$2,0))),"")</f>
        <v>Medium - High</v>
      </c>
      <c r="O66" s="363" t="str">
        <f t="shared" ca="1" si="2"/>
        <v>Lower Distinctiveness Habitat - Good</v>
      </c>
      <c r="P66" s="417">
        <f>IF(B66="","",VLOOKUP(B66,'B-1 On-Site Hedge Baseline'!$B$10:T311,16,FALSE))</f>
        <v>8.5500000000000007E-2</v>
      </c>
      <c r="Q66" s="362" t="str">
        <f>IF(M66="","",VLOOKUP(M66,'G-6 Hedgerow Data'!$B$2:$AG$15,2,FALSE))</f>
        <v>High</v>
      </c>
      <c r="R66" s="363">
        <f>IF(M66="","",VLOOKUP(M66,'G-6 Hedgerow Data'!$B$2:$AG$15,3,FALSE))</f>
        <v>6</v>
      </c>
      <c r="S66" s="125" t="s">
        <v>68</v>
      </c>
      <c r="T66" s="401">
        <f>IFERROR(VLOOKUP(S66,'G-1 All Habitats'!$Z$2:$AA$9,2,FALSE),"")</f>
        <v>3</v>
      </c>
      <c r="U66" s="122" t="s">
        <v>1037</v>
      </c>
      <c r="V66" s="382" t="str">
        <f>IF(U66="","",IF(VLOOKUP(U66,'G-3 Multipliers'!$L$3:$N$6,2,FALSE)=0,"Spatial Data Missing ⚠",VLOOKUP(U66,'G-3 Multipliers'!$L$3:$N$6,2,FALSE)))</f>
        <v>Low Strategic Significance</v>
      </c>
      <c r="W66" s="386">
        <f>IF(U66="","",IF(VLOOKUP(U66,'G-3 Multipliers'!$L$3:$N$6,3,FALSE)=0,"Spatial Data Missing ⚠",VLOOKUP(U66,'G-3 Multipliers'!$L$3:$N$6,3,FALSE)))</f>
        <v>1</v>
      </c>
      <c r="X66" s="362">
        <f ca="1">IFERROR(IF(OR(LEFT(O66,5)="Error",LEFT(N66,5)="Error",T66="Error"),"Check Data ⚠",IF(F66&lt;R66,INDEX('G-6 Hedgerow Data'!$S$3:$AE$14,MATCH(C66,'G-6 Hedgerow Data'!$B$3:$B$14,0),MATCH(M66,'G-6 Hedgerow Data'!$S$2:$AE$2,0)),INDEX('G-6 Hedgerow Data'!$K$3:$Q$14,MATCH(M66,'G-6 Hedgerow Data'!$B$3:$B$14,0),MATCH(O66,'G-6 Hedgerow Data'!$K$2:$Q$2,0)))),"")</f>
        <v>5</v>
      </c>
      <c r="Y66" s="159"/>
      <c r="Z66" s="159"/>
      <c r="AA66" s="370" t="str">
        <f t="shared" ca="1" si="3"/>
        <v>Standard time to target condition applied</v>
      </c>
      <c r="AB66" s="383">
        <f t="shared" ca="1" si="4"/>
        <v>5</v>
      </c>
      <c r="AC66" s="384">
        <f t="shared" ca="1" si="0"/>
        <v>0.83682870060000003</v>
      </c>
      <c r="AD66" s="398" t="str">
        <f>IF(M66="","",VLOOKUP(M66,'G-6 Hedgerow Data'!$B$3:$AG$15,31,FALSE))</f>
        <v>Low</v>
      </c>
      <c r="AE66" s="370" t="str">
        <f t="shared" ca="1" si="5"/>
        <v>Standard difficulty applied</v>
      </c>
      <c r="AF66" s="370" t="str">
        <f t="shared" ca="1" si="6"/>
        <v>Low</v>
      </c>
      <c r="AG66" s="386">
        <f ca="1">IFERROR(IF(O66="","",VLOOKUP(AD66,'G-3 Multipliers'!$P$3:$Q$6,2,FALSE)),"")</f>
        <v>1</v>
      </c>
      <c r="AH66" s="376">
        <f t="shared" ca="1" si="7"/>
        <v>1.3436839546182002</v>
      </c>
      <c r="AI66" s="188"/>
      <c r="AJ66" s="118"/>
      <c r="AK66" s="120"/>
      <c r="AT66" s="30" t="str">
        <f>IFERROR(INDEX('G-6 Hedgerow Data'!$BJ$3:$BJ$15,MATCH(M66,'G-6 Hedgerow Data'!$B$3:$B$15,0)),"")</f>
        <v>Hedgecond1</v>
      </c>
    </row>
    <row r="67" spans="2:46" ht="28.5" x14ac:dyDescent="0.2">
      <c r="B67" s="392">
        <f>'B-1 On-Site Hedge Baseline'!AK65</f>
        <v>158</v>
      </c>
      <c r="C67" s="382" t="str">
        <f ca="1">IF(B67="","",IF(ISNA(VLOOKUP($B67,'B-1 On-Site Hedge Baseline'!$B$1:$L$257,3,FALSE)),"",(VLOOKUP($B67,'B-1 On-Site Hedge Baseline'!$B$1:$L$257,3,FALSE))))</f>
        <v>Native hedgerow with trees</v>
      </c>
      <c r="D67" s="382">
        <f ca="1">IF(B67="","",IF(ISNA(VLOOKUP($B67,'B-1 On-Site Hedge Baseline'!$B$1:$L$257,4,FALSE)),"",(VLOOKUP($B67,'B-1 On-Site Hedge Baseline'!$B$1:$L$257,4,FALSE))))</f>
        <v>9.5100000000000004E-2</v>
      </c>
      <c r="E67" s="382" t="str">
        <f ca="1">IF(B67="","",IF(ISNA(VLOOKUP($B67,'B-1 On-Site Hedge Baseline'!$B$1:$L$257,5,FALSE)),"",(VLOOKUP($B67,'B-1 On-Site Hedge Baseline'!$B$1:$L$257,5,FALSE))))</f>
        <v>Medium</v>
      </c>
      <c r="F67" s="382">
        <f ca="1">IF(B67="","",IF(ISNA(VLOOKUP($B67,'B-1 On-Site Hedge Baseline'!$B$1:$L$257,6,FALSE)),"",(VLOOKUP($B67,'B-1 On-Site Hedge Baseline'!$B$1:$L$257,6,FALSE))))</f>
        <v>4</v>
      </c>
      <c r="G67" s="382" t="str">
        <f ca="1">IF(B67="","",IF(ISNA(VLOOKUP($B67,'B-1 On-Site Hedge Baseline'!$B$1:$L$257,7,FALSE)),"",(VLOOKUP($B67,'B-1 On-Site Hedge Baseline'!$B$1:$L$257,7,FALSE))))</f>
        <v>Poor</v>
      </c>
      <c r="H67" s="382">
        <f ca="1">IF(B67="","",IF(ISNA(VLOOKUP($B67,'B-1 On-Site Hedge Baseline'!$B$1:$L$257,8,FALSE)),"",(VLOOKUP($B67,'B-1 On-Site Hedge Baseline'!$B$1:$L$257,8,FALSE))))</f>
        <v>1</v>
      </c>
      <c r="I67" s="382" t="str">
        <f ca="1">IF(B67="","",IF(ISNA(VLOOKUP($B67,'B-1 On-Site Hedge Baseline'!$B$1:$L$257,10,FALSE)),"",(VLOOKUP($B67,'B-1 On-Site Hedge Baseline'!$B$1:$L$257,10,FALSE))))</f>
        <v xml:space="preserve">High strategic significance </v>
      </c>
      <c r="J67" s="382">
        <f ca="1">IF(B67="","",IF(ISNA(VLOOKUP($B67,'B-1 On-Site Hedge Baseline'!$B$1:$L$257,11,FALSE)),"",(VLOOKUP($B67,'B-1 On-Site Hedge Baseline'!$B$1:$L$257,11,FALSE))))</f>
        <v>1.1499999999999999</v>
      </c>
      <c r="K67" s="382">
        <f ca="1">IF(B67="","",IF(ISNA(VLOOKUP($B67,'B-1 On-Site Hedge Baseline'!$B$1:$U$257,13,FALSE)),"",(VLOOKUP($B67,'B-1 On-Site Hedge Baseline'!$B$1:$U$257,13,FALSE))))</f>
        <v>0.43745999999999996</v>
      </c>
      <c r="L67" s="386" t="str">
        <f ca="1">IF(B67="","",IF(ISNA(VLOOKUP($B67,'B-1 On-Site Hedge Baseline'!$B$1:$U$257,12,FALSE)),"",(VLOOKUP($B67,'B-1 On-Site Hedge Baseline'!$B$1:$U$257,12,FALSE))))</f>
        <v>Same distinctiveness band or better</v>
      </c>
      <c r="M67" s="315" t="s">
        <v>168</v>
      </c>
      <c r="N67" s="362" t="str">
        <f ca="1">IFERROR(IF(B67="","",INDEX('G-6 Hedgerow Data'!$AN$3:$AZ$15,MATCH(C67,'G-6 Hedgerow Data'!$AM$3:$AM$15,0),MATCH(M67,'G-6 Hedgerow Data'!$AN$2:$AZ$2,0))),"")</f>
        <v>Medium - High</v>
      </c>
      <c r="O67" s="363" t="str">
        <f t="shared" ca="1" si="2"/>
        <v>Lower Distinctiveness Habitat - Good</v>
      </c>
      <c r="P67" s="417">
        <f>IF(B67="","",VLOOKUP(B67,'B-1 On-Site Hedge Baseline'!$B$10:T312,16,FALSE))</f>
        <v>9.5100000000000004E-2</v>
      </c>
      <c r="Q67" s="362" t="str">
        <f>IF(M67="","",VLOOKUP(M67,'G-6 Hedgerow Data'!$B$2:$AG$15,2,FALSE))</f>
        <v>High</v>
      </c>
      <c r="R67" s="363">
        <f>IF(M67="","",VLOOKUP(M67,'G-6 Hedgerow Data'!$B$2:$AG$15,3,FALSE))</f>
        <v>6</v>
      </c>
      <c r="S67" s="125" t="s">
        <v>68</v>
      </c>
      <c r="T67" s="401">
        <f>IFERROR(VLOOKUP(S67,'G-1 All Habitats'!$Z$2:$AA$9,2,FALSE),"")</f>
        <v>3</v>
      </c>
      <c r="U67" s="122" t="s">
        <v>1029</v>
      </c>
      <c r="V67" s="382" t="str">
        <f>IF(U67="","",IF(VLOOKUP(U67,'G-3 Multipliers'!$L$3:$N$6,2,FALSE)=0,"Spatial Data Missing ⚠",VLOOKUP(U67,'G-3 Multipliers'!$L$3:$N$6,2,FALSE)))</f>
        <v xml:space="preserve">High strategic significance </v>
      </c>
      <c r="W67" s="386">
        <f>IF(U67="","",IF(VLOOKUP(U67,'G-3 Multipliers'!$L$3:$N$6,3,FALSE)=0,"Spatial Data Missing ⚠",VLOOKUP(U67,'G-3 Multipliers'!$L$3:$N$6,3,FALSE)))</f>
        <v>1.1499999999999999</v>
      </c>
      <c r="X67" s="362">
        <f ca="1">IFERROR(IF(OR(LEFT(O67,5)="Error",LEFT(N67,5)="Error",T67="Error"),"Check Data ⚠",IF(F67&lt;R67,INDEX('G-6 Hedgerow Data'!$S$3:$AE$14,MATCH(C67,'G-6 Hedgerow Data'!$B$3:$B$14,0),MATCH(M67,'G-6 Hedgerow Data'!$S$2:$AE$2,0)),INDEX('G-6 Hedgerow Data'!$K$3:$Q$14,MATCH(M67,'G-6 Hedgerow Data'!$B$3:$B$14,0),MATCH(O67,'G-6 Hedgerow Data'!$K$2:$Q$2,0)))),"")</f>
        <v>5</v>
      </c>
      <c r="Y67" s="159"/>
      <c r="Z67" s="159"/>
      <c r="AA67" s="370" t="str">
        <f t="shared" ca="1" si="3"/>
        <v>Standard time to target condition applied</v>
      </c>
      <c r="AB67" s="383">
        <f t="shared" ca="1" si="4"/>
        <v>5</v>
      </c>
      <c r="AC67" s="384">
        <f t="shared" ca="1" si="0"/>
        <v>0.83682870060000003</v>
      </c>
      <c r="AD67" s="398" t="str">
        <f>IF(M67="","",VLOOKUP(M67,'G-6 Hedgerow Data'!$B$3:$AG$15,31,FALSE))</f>
        <v>Low</v>
      </c>
      <c r="AE67" s="370" t="str">
        <f t="shared" ca="1" si="5"/>
        <v>Standard difficulty applied</v>
      </c>
      <c r="AF67" s="370" t="str">
        <f t="shared" ca="1" si="6"/>
        <v>Low</v>
      </c>
      <c r="AG67" s="386">
        <f ca="1">IFERROR(IF(O67="","",VLOOKUP(AD67,'G-3 Multipliers'!$P$3:$Q$6,2,FALSE)),"")</f>
        <v>1</v>
      </c>
      <c r="AH67" s="376">
        <f t="shared" ca="1" si="7"/>
        <v>1.718736791775666</v>
      </c>
      <c r="AI67" s="188"/>
      <c r="AJ67" s="118"/>
      <c r="AK67" s="120"/>
      <c r="AT67" s="30" t="str">
        <f>IFERROR(INDEX('G-6 Hedgerow Data'!$BJ$3:$BJ$15,MATCH(M67,'G-6 Hedgerow Data'!$B$3:$B$15,0)),"")</f>
        <v>Hedgecond1</v>
      </c>
    </row>
    <row r="68" spans="2:46" ht="28.5" x14ac:dyDescent="0.2">
      <c r="B68" s="392">
        <f>'B-1 On-Site Hedge Baseline'!AK66</f>
        <v>162</v>
      </c>
      <c r="C68" s="382" t="str">
        <f ca="1">IF(B68="","",IF(ISNA(VLOOKUP($B68,'B-1 On-Site Hedge Baseline'!$B$1:$L$257,3,FALSE)),"",(VLOOKUP($B68,'B-1 On-Site Hedge Baseline'!$B$1:$L$257,3,FALSE))))</f>
        <v>Species-rich native hedgerow</v>
      </c>
      <c r="D68" s="382">
        <f ca="1">IF(B68="","",IF(ISNA(VLOOKUP($B68,'B-1 On-Site Hedge Baseline'!$B$1:$L$257,4,FALSE)),"",(VLOOKUP($B68,'B-1 On-Site Hedge Baseline'!$B$1:$L$257,4,FALSE))))</f>
        <v>0.1973</v>
      </c>
      <c r="E68" s="382" t="str">
        <f ca="1">IF(B68="","",IF(ISNA(VLOOKUP($B68,'B-1 On-Site Hedge Baseline'!$B$1:$L$257,5,FALSE)),"",(VLOOKUP($B68,'B-1 On-Site Hedge Baseline'!$B$1:$L$257,5,FALSE))))</f>
        <v>Medium</v>
      </c>
      <c r="F68" s="382">
        <f ca="1">IF(B68="","",IF(ISNA(VLOOKUP($B68,'B-1 On-Site Hedge Baseline'!$B$1:$L$257,6,FALSE)),"",(VLOOKUP($B68,'B-1 On-Site Hedge Baseline'!$B$1:$L$257,6,FALSE))))</f>
        <v>4</v>
      </c>
      <c r="G68" s="382" t="str">
        <f ca="1">IF(B68="","",IF(ISNA(VLOOKUP($B68,'B-1 On-Site Hedge Baseline'!$B$1:$L$257,7,FALSE)),"",(VLOOKUP($B68,'B-1 On-Site Hedge Baseline'!$B$1:$L$257,7,FALSE))))</f>
        <v>Moderate</v>
      </c>
      <c r="H68" s="382">
        <f ca="1">IF(B68="","",IF(ISNA(VLOOKUP($B68,'B-1 On-Site Hedge Baseline'!$B$1:$L$257,8,FALSE)),"",(VLOOKUP($B68,'B-1 On-Site Hedge Baseline'!$B$1:$L$257,8,FALSE))))</f>
        <v>2</v>
      </c>
      <c r="I68" s="382" t="str">
        <f ca="1">IF(B68="","",IF(ISNA(VLOOKUP($B68,'B-1 On-Site Hedge Baseline'!$B$1:$L$257,10,FALSE)),"",(VLOOKUP($B68,'B-1 On-Site Hedge Baseline'!$B$1:$L$257,10,FALSE))))</f>
        <v>Low Strategic Significance</v>
      </c>
      <c r="J68" s="382">
        <f ca="1">IF(B68="","",IF(ISNA(VLOOKUP($B68,'B-1 On-Site Hedge Baseline'!$B$1:$L$257,11,FALSE)),"",(VLOOKUP($B68,'B-1 On-Site Hedge Baseline'!$B$1:$L$257,11,FALSE))))</f>
        <v>1</v>
      </c>
      <c r="K68" s="382">
        <f ca="1">IF(B68="","",IF(ISNA(VLOOKUP($B68,'B-1 On-Site Hedge Baseline'!$B$1:$U$257,13,FALSE)),"",(VLOOKUP($B68,'B-1 On-Site Hedge Baseline'!$B$1:$U$257,13,FALSE))))</f>
        <v>1.5784</v>
      </c>
      <c r="L68" s="386" t="str">
        <f ca="1">IF(B68="","",IF(ISNA(VLOOKUP($B68,'B-1 On-Site Hedge Baseline'!$B$1:$U$257,12,FALSE)),"",(VLOOKUP($B68,'B-1 On-Site Hedge Baseline'!$B$1:$U$257,12,FALSE))))</f>
        <v>Same distinctiveness band or better</v>
      </c>
      <c r="M68" s="315" t="str">
        <f t="shared" ca="1" si="1"/>
        <v>Species-rich native hedgerow</v>
      </c>
      <c r="N68" s="362" t="str">
        <f ca="1">IFERROR(IF(B68="","",INDEX('G-6 Hedgerow Data'!$AN$3:$AZ$15,MATCH(C68,'G-6 Hedgerow Data'!$AM$3:$AM$15,0),MATCH(M68,'G-6 Hedgerow Data'!$AN$2:$AZ$2,0))),"")</f>
        <v>Medium - Medium</v>
      </c>
      <c r="O68" s="363" t="str">
        <f t="shared" ca="1" si="2"/>
        <v>Moderate - Good</v>
      </c>
      <c r="P68" s="417">
        <f>IF(B68="","",VLOOKUP(B68,'B-1 On-Site Hedge Baseline'!$B$10:T313,16,FALSE))</f>
        <v>0.1973</v>
      </c>
      <c r="Q68" s="362" t="str">
        <f ca="1">IF(M68="","",VLOOKUP(M68,'G-6 Hedgerow Data'!$B$2:$AG$15,2,FALSE))</f>
        <v>Medium</v>
      </c>
      <c r="R68" s="363">
        <f ca="1">IF(M68="","",VLOOKUP(M68,'G-6 Hedgerow Data'!$B$2:$AG$15,3,FALSE))</f>
        <v>4</v>
      </c>
      <c r="S68" s="125" t="s">
        <v>68</v>
      </c>
      <c r="T68" s="401">
        <f>IFERROR(VLOOKUP(S68,'G-1 All Habitats'!$Z$2:$AA$9,2,FALSE),"")</f>
        <v>3</v>
      </c>
      <c r="U68" s="122" t="s">
        <v>1037</v>
      </c>
      <c r="V68" s="382" t="str">
        <f>IF(U68="","",IF(VLOOKUP(U68,'G-3 Multipliers'!$L$3:$N$6,2,FALSE)=0,"Spatial Data Missing ⚠",VLOOKUP(U68,'G-3 Multipliers'!$L$3:$N$6,2,FALSE)))</f>
        <v>Low Strategic Significance</v>
      </c>
      <c r="W68" s="386">
        <f>IF(U68="","",IF(VLOOKUP(U68,'G-3 Multipliers'!$L$3:$N$6,3,FALSE)=0,"Spatial Data Missing ⚠",VLOOKUP(U68,'G-3 Multipliers'!$L$3:$N$6,3,FALSE)))</f>
        <v>1</v>
      </c>
      <c r="X68" s="362">
        <f ca="1">IFERROR(IF(OR(LEFT(O68,5)="Error",LEFT(N68,5)="Error",T68="Error"),"Check Data ⚠",IF(F68&lt;R68,INDEX('G-6 Hedgerow Data'!$S$3:$AE$14,MATCH(C68,'G-6 Hedgerow Data'!$B$3:$B$14,0),MATCH(M68,'G-6 Hedgerow Data'!$S$2:$AE$2,0)),INDEX('G-6 Hedgerow Data'!$K$3:$Q$14,MATCH(M68,'G-6 Hedgerow Data'!$B$3:$B$14,0),MATCH(O68,'G-6 Hedgerow Data'!$K$2:$Q$2,0)))),"")</f>
        <v>2</v>
      </c>
      <c r="Y68" s="159"/>
      <c r="Z68" s="159"/>
      <c r="AA68" s="370" t="str">
        <f t="shared" ca="1" si="3"/>
        <v>Standard time to target condition applied</v>
      </c>
      <c r="AB68" s="383">
        <f t="shared" ca="1" si="4"/>
        <v>2</v>
      </c>
      <c r="AC68" s="384">
        <f t="shared" ca="1" si="0"/>
        <v>0.93122499999999997</v>
      </c>
      <c r="AD68" s="398" t="str">
        <f ca="1">IF(M68="","",VLOOKUP(M68,'G-6 Hedgerow Data'!$B$3:$AG$15,31,FALSE))</f>
        <v>Low</v>
      </c>
      <c r="AE68" s="370" t="str">
        <f t="shared" ca="1" si="5"/>
        <v>Standard difficulty applied</v>
      </c>
      <c r="AF68" s="370" t="str">
        <f t="shared" ca="1" si="6"/>
        <v>Low</v>
      </c>
      <c r="AG68" s="386">
        <f ca="1">IFERROR(IF(O68="","",VLOOKUP(AD68,'G-3 Multipliers'!$P$3:$Q$6,2,FALSE)),"")</f>
        <v>1</v>
      </c>
      <c r="AH68" s="376">
        <f t="shared" ca="1" si="7"/>
        <v>2.3133227700000001</v>
      </c>
      <c r="AI68" s="188"/>
      <c r="AJ68" s="118"/>
      <c r="AK68" s="120"/>
      <c r="AT68" s="30" t="str">
        <f ca="1">IFERROR(INDEX('G-6 Hedgerow Data'!$BJ$3:$BJ$15,MATCH(M68,'G-6 Hedgerow Data'!$B$3:$B$15,0)),"")</f>
        <v>Hedgecond1</v>
      </c>
    </row>
    <row r="69" spans="2:46" ht="28.5" x14ac:dyDescent="0.2">
      <c r="B69" s="392">
        <f>'B-1 On-Site Hedge Baseline'!AK67</f>
        <v>165</v>
      </c>
      <c r="C69" s="382" t="str">
        <f ca="1">IF(B69="","",IF(ISNA(VLOOKUP($B69,'B-1 On-Site Hedge Baseline'!$B$1:$L$257,3,FALSE)),"",(VLOOKUP($B69,'B-1 On-Site Hedge Baseline'!$B$1:$L$257,3,FALSE))))</f>
        <v>Native hedgerow</v>
      </c>
      <c r="D69" s="382">
        <f ca="1">IF(B69="","",IF(ISNA(VLOOKUP($B69,'B-1 On-Site Hedge Baseline'!$B$1:$L$257,4,FALSE)),"",(VLOOKUP($B69,'B-1 On-Site Hedge Baseline'!$B$1:$L$257,4,FALSE))))</f>
        <v>0.24349999999999999</v>
      </c>
      <c r="E69" s="382" t="str">
        <f ca="1">IF(B69="","",IF(ISNA(VLOOKUP($B69,'B-1 On-Site Hedge Baseline'!$B$1:$L$257,5,FALSE)),"",(VLOOKUP($B69,'B-1 On-Site Hedge Baseline'!$B$1:$L$257,5,FALSE))))</f>
        <v>Low</v>
      </c>
      <c r="F69" s="382">
        <f ca="1">IF(B69="","",IF(ISNA(VLOOKUP($B69,'B-1 On-Site Hedge Baseline'!$B$1:$L$257,6,FALSE)),"",(VLOOKUP($B69,'B-1 On-Site Hedge Baseline'!$B$1:$L$257,6,FALSE))))</f>
        <v>2</v>
      </c>
      <c r="G69" s="382" t="str">
        <f ca="1">IF(B69="","",IF(ISNA(VLOOKUP($B69,'B-1 On-Site Hedge Baseline'!$B$1:$L$257,7,FALSE)),"",(VLOOKUP($B69,'B-1 On-Site Hedge Baseline'!$B$1:$L$257,7,FALSE))))</f>
        <v>Moderate</v>
      </c>
      <c r="H69" s="382">
        <f ca="1">IF(B69="","",IF(ISNA(VLOOKUP($B69,'B-1 On-Site Hedge Baseline'!$B$1:$L$257,8,FALSE)),"",(VLOOKUP($B69,'B-1 On-Site Hedge Baseline'!$B$1:$L$257,8,FALSE))))</f>
        <v>2</v>
      </c>
      <c r="I69" s="382" t="str">
        <f ca="1">IF(B69="","",IF(ISNA(VLOOKUP($B69,'B-1 On-Site Hedge Baseline'!$B$1:$L$257,10,FALSE)),"",(VLOOKUP($B69,'B-1 On-Site Hedge Baseline'!$B$1:$L$257,10,FALSE))))</f>
        <v>Low Strategic Significance</v>
      </c>
      <c r="J69" s="382">
        <f ca="1">IF(B69="","",IF(ISNA(VLOOKUP($B69,'B-1 On-Site Hedge Baseline'!$B$1:$L$257,11,FALSE)),"",(VLOOKUP($B69,'B-1 On-Site Hedge Baseline'!$B$1:$L$257,11,FALSE))))</f>
        <v>1</v>
      </c>
      <c r="K69" s="382">
        <f ca="1">IF(B69="","",IF(ISNA(VLOOKUP($B69,'B-1 On-Site Hedge Baseline'!$B$1:$U$257,13,FALSE)),"",(VLOOKUP($B69,'B-1 On-Site Hedge Baseline'!$B$1:$U$257,13,FALSE))))</f>
        <v>0.97399999999999998</v>
      </c>
      <c r="L69" s="386" t="str">
        <f ca="1">IF(B69="","",IF(ISNA(VLOOKUP($B69,'B-1 On-Site Hedge Baseline'!$B$1:$U$257,12,FALSE)),"",(VLOOKUP($B69,'B-1 On-Site Hedge Baseline'!$B$1:$U$257,12,FALSE))))</f>
        <v>Same distinctiveness band or better</v>
      </c>
      <c r="M69" s="315" t="s">
        <v>171</v>
      </c>
      <c r="N69" s="362" t="str">
        <f ca="1">IFERROR(IF(B69="","",INDEX('G-6 Hedgerow Data'!$AN$3:$AZ$15,MATCH(C69,'G-6 Hedgerow Data'!$AM$3:$AM$15,0),MATCH(M69,'G-6 Hedgerow Data'!$AN$2:$AZ$2,0))),"")</f>
        <v>Low - Medium</v>
      </c>
      <c r="O69" s="363" t="str">
        <f t="shared" ca="1" si="2"/>
        <v>Lower Distinctiveness Habitat - Good</v>
      </c>
      <c r="P69" s="417">
        <f>IF(B69="","",VLOOKUP(B69,'B-1 On-Site Hedge Baseline'!$B$10:T314,16,FALSE))</f>
        <v>2.7799999999999998E-2</v>
      </c>
      <c r="Q69" s="362" t="str">
        <f>IF(M69="","",VLOOKUP(M69,'G-6 Hedgerow Data'!$B$2:$AG$15,2,FALSE))</f>
        <v>Medium</v>
      </c>
      <c r="R69" s="363">
        <f>IF(M69="","",VLOOKUP(M69,'G-6 Hedgerow Data'!$B$2:$AG$15,3,FALSE))</f>
        <v>4</v>
      </c>
      <c r="S69" s="125" t="s">
        <v>68</v>
      </c>
      <c r="T69" s="401">
        <f>IFERROR(VLOOKUP(S69,'G-1 All Habitats'!$Z$2:$AA$9,2,FALSE),"")</f>
        <v>3</v>
      </c>
      <c r="U69" s="122" t="s">
        <v>1037</v>
      </c>
      <c r="V69" s="382" t="str">
        <f>IF(U69="","",IF(VLOOKUP(U69,'G-3 Multipliers'!$L$3:$N$6,2,FALSE)=0,"Spatial Data Missing ⚠",VLOOKUP(U69,'G-3 Multipliers'!$L$3:$N$6,2,FALSE)))</f>
        <v>Low Strategic Significance</v>
      </c>
      <c r="W69" s="386">
        <f>IF(U69="","",IF(VLOOKUP(U69,'G-3 Multipliers'!$L$3:$N$6,3,FALSE)=0,"Spatial Data Missing ⚠",VLOOKUP(U69,'G-3 Multipliers'!$L$3:$N$6,3,FALSE)))</f>
        <v>1</v>
      </c>
      <c r="X69" s="362">
        <f ca="1">IFERROR(IF(OR(LEFT(O69,5)="Error",LEFT(N69,5)="Error",T69="Error"),"Check Data ⚠",IF(F69&lt;R69,INDEX('G-6 Hedgerow Data'!$S$3:$AE$14,MATCH(C69,'G-6 Hedgerow Data'!$B$3:$B$14,0),MATCH(M69,'G-6 Hedgerow Data'!$S$2:$AE$2,0)),INDEX('G-6 Hedgerow Data'!$K$3:$Q$14,MATCH(M69,'G-6 Hedgerow Data'!$B$3:$B$14,0),MATCH(O69,'G-6 Hedgerow Data'!$K$2:$Q$2,0)))),"")</f>
        <v>5</v>
      </c>
      <c r="Y69" s="159"/>
      <c r="Z69" s="159"/>
      <c r="AA69" s="370" t="str">
        <f t="shared" ca="1" si="3"/>
        <v>Standard time to target condition applied</v>
      </c>
      <c r="AB69" s="383">
        <f t="shared" ca="1" si="4"/>
        <v>5</v>
      </c>
      <c r="AC69" s="384">
        <f t="shared" ca="1" si="0"/>
        <v>0.83682870060000003</v>
      </c>
      <c r="AD69" s="398" t="str">
        <f>IF(M69="","",VLOOKUP(M69,'G-6 Hedgerow Data'!$B$3:$AG$15,31,FALSE))</f>
        <v>Low</v>
      </c>
      <c r="AE69" s="370" t="str">
        <f t="shared" ca="1" si="5"/>
        <v>Standard difficulty applied</v>
      </c>
      <c r="AF69" s="370" t="str">
        <f t="shared" ca="1" si="6"/>
        <v>Low</v>
      </c>
      <c r="AG69" s="386">
        <f ca="1">IFERROR(IF(O69="","",VLOOKUP(AD69,'G-3 Multipliers'!$P$3:$Q$6,2,FALSE)),"")</f>
        <v>1</v>
      </c>
      <c r="AH69" s="376">
        <f t="shared" ca="1" si="7"/>
        <v>0.29731070301343998</v>
      </c>
      <c r="AI69" s="188"/>
      <c r="AJ69" s="118"/>
      <c r="AK69" s="120"/>
      <c r="AT69" s="30" t="str">
        <f>IFERROR(INDEX('G-6 Hedgerow Data'!$BJ$3:$BJ$15,MATCH(M69,'G-6 Hedgerow Data'!$B$3:$B$15,0)),"")</f>
        <v>Hedgecond1</v>
      </c>
    </row>
    <row r="70" spans="2:46" ht="28.5" x14ac:dyDescent="0.2">
      <c r="B70" s="392">
        <f>'B-1 On-Site Hedge Baseline'!AK68</f>
        <v>166</v>
      </c>
      <c r="C70" s="382" t="str">
        <f ca="1">IF(B70="","",IF(ISNA(VLOOKUP($B70,'B-1 On-Site Hedge Baseline'!$B$1:$L$257,3,FALSE)),"",(VLOOKUP($B70,'B-1 On-Site Hedge Baseline'!$B$1:$L$257,3,FALSE))))</f>
        <v>Native hedgerow</v>
      </c>
      <c r="D70" s="382">
        <f ca="1">IF(B70="","",IF(ISNA(VLOOKUP($B70,'B-1 On-Site Hedge Baseline'!$B$1:$L$257,4,FALSE)),"",(VLOOKUP($B70,'B-1 On-Site Hedge Baseline'!$B$1:$L$257,4,FALSE))))</f>
        <v>0.25390000000000001</v>
      </c>
      <c r="E70" s="382" t="str">
        <f ca="1">IF(B70="","",IF(ISNA(VLOOKUP($B70,'B-1 On-Site Hedge Baseline'!$B$1:$L$257,5,FALSE)),"",(VLOOKUP($B70,'B-1 On-Site Hedge Baseline'!$B$1:$L$257,5,FALSE))))</f>
        <v>Low</v>
      </c>
      <c r="F70" s="382">
        <f ca="1">IF(B70="","",IF(ISNA(VLOOKUP($B70,'B-1 On-Site Hedge Baseline'!$B$1:$L$257,6,FALSE)),"",(VLOOKUP($B70,'B-1 On-Site Hedge Baseline'!$B$1:$L$257,6,FALSE))))</f>
        <v>2</v>
      </c>
      <c r="G70" s="382" t="str">
        <f ca="1">IF(B70="","",IF(ISNA(VLOOKUP($B70,'B-1 On-Site Hedge Baseline'!$B$1:$L$257,7,FALSE)),"",(VLOOKUP($B70,'B-1 On-Site Hedge Baseline'!$B$1:$L$257,7,FALSE))))</f>
        <v>Good</v>
      </c>
      <c r="H70" s="382">
        <f ca="1">IF(B70="","",IF(ISNA(VLOOKUP($B70,'B-1 On-Site Hedge Baseline'!$B$1:$L$257,8,FALSE)),"",(VLOOKUP($B70,'B-1 On-Site Hedge Baseline'!$B$1:$L$257,8,FALSE))))</f>
        <v>3</v>
      </c>
      <c r="I70" s="382" t="str">
        <f ca="1">IF(B70="","",IF(ISNA(VLOOKUP($B70,'B-1 On-Site Hedge Baseline'!$B$1:$L$257,10,FALSE)),"",(VLOOKUP($B70,'B-1 On-Site Hedge Baseline'!$B$1:$L$257,10,FALSE))))</f>
        <v>Low Strategic Significance</v>
      </c>
      <c r="J70" s="382">
        <f ca="1">IF(B70="","",IF(ISNA(VLOOKUP($B70,'B-1 On-Site Hedge Baseline'!$B$1:$L$257,11,FALSE)),"",(VLOOKUP($B70,'B-1 On-Site Hedge Baseline'!$B$1:$L$257,11,FALSE))))</f>
        <v>1</v>
      </c>
      <c r="K70" s="382">
        <f ca="1">IF(B70="","",IF(ISNA(VLOOKUP($B70,'B-1 On-Site Hedge Baseline'!$B$1:$U$257,13,FALSE)),"",(VLOOKUP($B70,'B-1 On-Site Hedge Baseline'!$B$1:$U$257,13,FALSE))))</f>
        <v>1.5234000000000001</v>
      </c>
      <c r="L70" s="386" t="str">
        <f ca="1">IF(B70="","",IF(ISNA(VLOOKUP($B70,'B-1 On-Site Hedge Baseline'!$B$1:$U$257,12,FALSE)),"",(VLOOKUP($B70,'B-1 On-Site Hedge Baseline'!$B$1:$U$257,12,FALSE))))</f>
        <v>Same distinctiveness band or better</v>
      </c>
      <c r="M70" s="315" t="s">
        <v>171</v>
      </c>
      <c r="N70" s="362" t="str">
        <f ca="1">IFERROR(IF(B70="","",INDEX('G-6 Hedgerow Data'!$AN$3:$AZ$15,MATCH(C70,'G-6 Hedgerow Data'!$AM$3:$AM$15,0),MATCH(M70,'G-6 Hedgerow Data'!$AN$2:$AZ$2,0))),"")</f>
        <v>Low - Medium</v>
      </c>
      <c r="O70" s="363" t="str">
        <f t="shared" ca="1" si="2"/>
        <v>Lower Distinctiveness Habitat - Good</v>
      </c>
      <c r="P70" s="417">
        <f>IF(B70="","",VLOOKUP(B70,'B-1 On-Site Hedge Baseline'!$B$10:T315,16,FALSE))</f>
        <v>0.17199999999999999</v>
      </c>
      <c r="Q70" s="362" t="str">
        <f>IF(M70="","",VLOOKUP(M70,'G-6 Hedgerow Data'!$B$2:$AG$15,2,FALSE))</f>
        <v>Medium</v>
      </c>
      <c r="R70" s="363">
        <f>IF(M70="","",VLOOKUP(M70,'G-6 Hedgerow Data'!$B$2:$AG$15,3,FALSE))</f>
        <v>4</v>
      </c>
      <c r="S70" s="125" t="s">
        <v>68</v>
      </c>
      <c r="T70" s="401">
        <f>IFERROR(VLOOKUP(S70,'G-1 All Habitats'!$Z$2:$AA$9,2,FALSE),"")</f>
        <v>3</v>
      </c>
      <c r="U70" s="122" t="s">
        <v>1037</v>
      </c>
      <c r="V70" s="382" t="str">
        <f>IF(U70="","",IF(VLOOKUP(U70,'G-3 Multipliers'!$L$3:$N$6,2,FALSE)=0,"Spatial Data Missing ⚠",VLOOKUP(U70,'G-3 Multipliers'!$L$3:$N$6,2,FALSE)))</f>
        <v>Low Strategic Significance</v>
      </c>
      <c r="W70" s="386">
        <f>IF(U70="","",IF(VLOOKUP(U70,'G-3 Multipliers'!$L$3:$N$6,3,FALSE)=0,"Spatial Data Missing ⚠",VLOOKUP(U70,'G-3 Multipliers'!$L$3:$N$6,3,FALSE)))</f>
        <v>1</v>
      </c>
      <c r="X70" s="362">
        <f ca="1">IFERROR(IF(OR(LEFT(O70,5)="Error",LEFT(N70,5)="Error",T70="Error"),"Check Data ⚠",IF(F70&lt;R70,INDEX('G-6 Hedgerow Data'!$S$3:$AE$14,MATCH(C70,'G-6 Hedgerow Data'!$B$3:$B$14,0),MATCH(M70,'G-6 Hedgerow Data'!$S$2:$AE$2,0)),INDEX('G-6 Hedgerow Data'!$K$3:$Q$14,MATCH(M70,'G-6 Hedgerow Data'!$B$3:$B$14,0),MATCH(O70,'G-6 Hedgerow Data'!$K$2:$Q$2,0)))),"")</f>
        <v>5</v>
      </c>
      <c r="Y70" s="159"/>
      <c r="Z70" s="159"/>
      <c r="AA70" s="370" t="str">
        <f t="shared" ca="1" si="3"/>
        <v>Standard time to target condition applied</v>
      </c>
      <c r="AB70" s="383">
        <f t="shared" ca="1" si="4"/>
        <v>5</v>
      </c>
      <c r="AC70" s="384">
        <f t="shared" ca="1" si="0"/>
        <v>0.83682870060000003</v>
      </c>
      <c r="AD70" s="398" t="str">
        <f>IF(M70="","",VLOOKUP(M70,'G-6 Hedgerow Data'!$B$3:$AG$15,31,FALSE))</f>
        <v>Low</v>
      </c>
      <c r="AE70" s="370" t="str">
        <f t="shared" ca="1" si="5"/>
        <v>Standard difficulty applied</v>
      </c>
      <c r="AF70" s="370" t="str">
        <f t="shared" ca="1" si="6"/>
        <v>Low</v>
      </c>
      <c r="AG70" s="386">
        <f ca="1">IFERROR(IF(O70="","",VLOOKUP(AD70,'G-3 Multipliers'!$P$3:$Q$6,2,FALSE)),"")</f>
        <v>1</v>
      </c>
      <c r="AH70" s="376">
        <f t="shared" ca="1" si="7"/>
        <v>1.8956072190192002</v>
      </c>
      <c r="AI70" s="188"/>
      <c r="AJ70" s="118"/>
      <c r="AK70" s="120"/>
      <c r="AT70" s="30" t="str">
        <f>IFERROR(INDEX('G-6 Hedgerow Data'!$BJ$3:$BJ$15,MATCH(M70,'G-6 Hedgerow Data'!$B$3:$B$15,0)),"")</f>
        <v>Hedgecond1</v>
      </c>
    </row>
    <row r="71" spans="2:46" ht="28.5" x14ac:dyDescent="0.2">
      <c r="B71" s="392">
        <f>'B-1 On-Site Hedge Baseline'!AK69</f>
        <v>170</v>
      </c>
      <c r="C71" s="382" t="str">
        <f ca="1">IF(B71="","",IF(ISNA(VLOOKUP($B71,'B-1 On-Site Hedge Baseline'!$B$1:$L$257,3,FALSE)),"",(VLOOKUP($B71,'B-1 On-Site Hedge Baseline'!$B$1:$L$257,3,FALSE))))</f>
        <v>Species-rich native hedgerow</v>
      </c>
      <c r="D71" s="382">
        <f ca="1">IF(B71="","",IF(ISNA(VLOOKUP($B71,'B-1 On-Site Hedge Baseline'!$B$1:$L$257,4,FALSE)),"",(VLOOKUP($B71,'B-1 On-Site Hedge Baseline'!$B$1:$L$257,4,FALSE))))</f>
        <v>0.39939999999999998</v>
      </c>
      <c r="E71" s="382" t="str">
        <f ca="1">IF(B71="","",IF(ISNA(VLOOKUP($B71,'B-1 On-Site Hedge Baseline'!$B$1:$L$257,5,FALSE)),"",(VLOOKUP($B71,'B-1 On-Site Hedge Baseline'!$B$1:$L$257,5,FALSE))))</f>
        <v>Medium</v>
      </c>
      <c r="F71" s="382">
        <f ca="1">IF(B71="","",IF(ISNA(VLOOKUP($B71,'B-1 On-Site Hedge Baseline'!$B$1:$L$257,6,FALSE)),"",(VLOOKUP($B71,'B-1 On-Site Hedge Baseline'!$B$1:$L$257,6,FALSE))))</f>
        <v>4</v>
      </c>
      <c r="G71" s="382" t="str">
        <f ca="1">IF(B71="","",IF(ISNA(VLOOKUP($B71,'B-1 On-Site Hedge Baseline'!$B$1:$L$257,7,FALSE)),"",(VLOOKUP($B71,'B-1 On-Site Hedge Baseline'!$B$1:$L$257,7,FALSE))))</f>
        <v>Good</v>
      </c>
      <c r="H71" s="382">
        <f ca="1">IF(B71="","",IF(ISNA(VLOOKUP($B71,'B-1 On-Site Hedge Baseline'!$B$1:$L$257,8,FALSE)),"",(VLOOKUP($B71,'B-1 On-Site Hedge Baseline'!$B$1:$L$257,8,FALSE))))</f>
        <v>3</v>
      </c>
      <c r="I71" s="382" t="str">
        <f ca="1">IF(B71="","",IF(ISNA(VLOOKUP($B71,'B-1 On-Site Hedge Baseline'!$B$1:$L$257,10,FALSE)),"",(VLOOKUP($B71,'B-1 On-Site Hedge Baseline'!$B$1:$L$257,10,FALSE))))</f>
        <v>Low Strategic Significance</v>
      </c>
      <c r="J71" s="382">
        <f ca="1">IF(B71="","",IF(ISNA(VLOOKUP($B71,'B-1 On-Site Hedge Baseline'!$B$1:$L$257,11,FALSE)),"",(VLOOKUP($B71,'B-1 On-Site Hedge Baseline'!$B$1:$L$257,11,FALSE))))</f>
        <v>1</v>
      </c>
      <c r="K71" s="382">
        <f ca="1">IF(B71="","",IF(ISNA(VLOOKUP($B71,'B-1 On-Site Hedge Baseline'!$B$1:$U$257,13,FALSE)),"",(VLOOKUP($B71,'B-1 On-Site Hedge Baseline'!$B$1:$U$257,13,FALSE))))</f>
        <v>4.7927999999999997</v>
      </c>
      <c r="L71" s="386" t="str">
        <f ca="1">IF(B71="","",IF(ISNA(VLOOKUP($B71,'B-1 On-Site Hedge Baseline'!$B$1:$U$257,12,FALSE)),"",(VLOOKUP($B71,'B-1 On-Site Hedge Baseline'!$B$1:$U$257,12,FALSE))))</f>
        <v>Same distinctiveness band or better</v>
      </c>
      <c r="M71" s="315" t="s">
        <v>168</v>
      </c>
      <c r="N71" s="362" t="str">
        <f ca="1">IFERROR(IF(B71="","",INDEX('G-6 Hedgerow Data'!$AN$3:$AZ$15,MATCH(C71,'G-6 Hedgerow Data'!$AM$3:$AM$15,0),MATCH(M71,'G-6 Hedgerow Data'!$AN$2:$AZ$2,0))),"")</f>
        <v>Medium - High</v>
      </c>
      <c r="O71" s="363" t="str">
        <f t="shared" ca="1" si="2"/>
        <v>Lower Distinctiveness Habitat - Good</v>
      </c>
      <c r="P71" s="417">
        <f>IF(B71="","",VLOOKUP(B71,'B-1 On-Site Hedge Baseline'!$B$10:T316,16,FALSE))</f>
        <v>0.36270000000000002</v>
      </c>
      <c r="Q71" s="362" t="str">
        <f>IF(M71="","",VLOOKUP(M71,'G-6 Hedgerow Data'!$B$2:$AG$15,2,FALSE))</f>
        <v>High</v>
      </c>
      <c r="R71" s="363">
        <f>IF(M71="","",VLOOKUP(M71,'G-6 Hedgerow Data'!$B$2:$AG$15,3,FALSE))</f>
        <v>6</v>
      </c>
      <c r="S71" s="125" t="s">
        <v>68</v>
      </c>
      <c r="T71" s="401">
        <f>IFERROR(VLOOKUP(S71,'G-1 All Habitats'!$Z$2:$AA$9,2,FALSE),"")</f>
        <v>3</v>
      </c>
      <c r="U71" s="122" t="s">
        <v>1037</v>
      </c>
      <c r="V71" s="382" t="str">
        <f>IF(U71="","",IF(VLOOKUP(U71,'G-3 Multipliers'!$L$3:$N$6,2,FALSE)=0,"Spatial Data Missing ⚠",VLOOKUP(U71,'G-3 Multipliers'!$L$3:$N$6,2,FALSE)))</f>
        <v>Low Strategic Significance</v>
      </c>
      <c r="W71" s="386">
        <f>IF(U71="","",IF(VLOOKUP(U71,'G-3 Multipliers'!$L$3:$N$6,3,FALSE)=0,"Spatial Data Missing ⚠",VLOOKUP(U71,'G-3 Multipliers'!$L$3:$N$6,3,FALSE)))</f>
        <v>1</v>
      </c>
      <c r="X71" s="362">
        <f ca="1">IFERROR(IF(OR(LEFT(O71,5)="Error",LEFT(N71,5)="Error",T71="Error"),"Check Data ⚠",IF(F71&lt;R71,INDEX('G-6 Hedgerow Data'!$S$3:$AE$14,MATCH(C71,'G-6 Hedgerow Data'!$B$3:$B$14,0),MATCH(M71,'G-6 Hedgerow Data'!$S$2:$AE$2,0)),INDEX('G-6 Hedgerow Data'!$K$3:$Q$14,MATCH(M71,'G-6 Hedgerow Data'!$B$3:$B$14,0),MATCH(O71,'G-6 Hedgerow Data'!$K$2:$Q$2,0)))),"")</f>
        <v>10</v>
      </c>
      <c r="Y71" s="159"/>
      <c r="Z71" s="159"/>
      <c r="AA71" s="370" t="str">
        <f t="shared" ca="1" si="3"/>
        <v>Standard time to target condition applied</v>
      </c>
      <c r="AB71" s="383">
        <f t="shared" ca="1" si="4"/>
        <v>10</v>
      </c>
      <c r="AC71" s="384">
        <f t="shared" ca="1" si="0"/>
        <v>0.70028227419999989</v>
      </c>
      <c r="AD71" s="398" t="str">
        <f>IF(M71="","",VLOOKUP(M71,'G-6 Hedgerow Data'!$B$3:$AG$15,31,FALSE))</f>
        <v>Low</v>
      </c>
      <c r="AE71" s="370" t="str">
        <f t="shared" ca="1" si="5"/>
        <v>Standard difficulty applied</v>
      </c>
      <c r="AF71" s="370" t="str">
        <f t="shared" ca="1" si="6"/>
        <v>Low</v>
      </c>
      <c r="AG71" s="386">
        <f ca="1">IFERROR(IF(O71="","",VLOOKUP(AD71,'G-3 Multipliers'!$P$3:$Q$6,2,FALSE)),"")</f>
        <v>1</v>
      </c>
      <c r="AH71" s="376">
        <f t="shared" ca="1" si="7"/>
        <v>5.87635428511404</v>
      </c>
      <c r="AI71" s="188"/>
      <c r="AJ71" s="118"/>
      <c r="AK71" s="120"/>
      <c r="AT71" s="30" t="str">
        <f>IFERROR(INDEX('G-6 Hedgerow Data'!$BJ$3:$BJ$15,MATCH(M71,'G-6 Hedgerow Data'!$B$3:$B$15,0)),"")</f>
        <v>Hedgecond1</v>
      </c>
    </row>
    <row r="72" spans="2:46" ht="28.5" x14ac:dyDescent="0.2">
      <c r="B72" s="392">
        <f>'B-1 On-Site Hedge Baseline'!AK70</f>
        <v>183</v>
      </c>
      <c r="C72" s="382" t="str">
        <f ca="1">IF(B72="","",IF(ISNA(VLOOKUP($B72,'B-1 On-Site Hedge Baseline'!$B$1:$L$257,3,FALSE)),"",(VLOOKUP($B72,'B-1 On-Site Hedge Baseline'!$B$1:$L$257,3,FALSE))))</f>
        <v>Native hedgerow</v>
      </c>
      <c r="D72" s="382">
        <f ca="1">IF(B72="","",IF(ISNA(VLOOKUP($B72,'B-1 On-Site Hedge Baseline'!$B$1:$L$257,4,FALSE)),"",(VLOOKUP($B72,'B-1 On-Site Hedge Baseline'!$B$1:$L$257,4,FALSE))))</f>
        <v>0.22509999999999999</v>
      </c>
      <c r="E72" s="382" t="str">
        <f ca="1">IF(B72="","",IF(ISNA(VLOOKUP($B72,'B-1 On-Site Hedge Baseline'!$B$1:$L$257,5,FALSE)),"",(VLOOKUP($B72,'B-1 On-Site Hedge Baseline'!$B$1:$L$257,5,FALSE))))</f>
        <v>Low</v>
      </c>
      <c r="F72" s="382">
        <f ca="1">IF(B72="","",IF(ISNA(VLOOKUP($B72,'B-1 On-Site Hedge Baseline'!$B$1:$L$257,6,FALSE)),"",(VLOOKUP($B72,'B-1 On-Site Hedge Baseline'!$B$1:$L$257,6,FALSE))))</f>
        <v>2</v>
      </c>
      <c r="G72" s="382" t="str">
        <f ca="1">IF(B72="","",IF(ISNA(VLOOKUP($B72,'B-1 On-Site Hedge Baseline'!$B$1:$L$257,7,FALSE)),"",(VLOOKUP($B72,'B-1 On-Site Hedge Baseline'!$B$1:$L$257,7,FALSE))))</f>
        <v>Poor</v>
      </c>
      <c r="H72" s="382">
        <f ca="1">IF(B72="","",IF(ISNA(VLOOKUP($B72,'B-1 On-Site Hedge Baseline'!$B$1:$L$257,8,FALSE)),"",(VLOOKUP($B72,'B-1 On-Site Hedge Baseline'!$B$1:$L$257,8,FALSE))))</f>
        <v>1</v>
      </c>
      <c r="I72" s="382" t="str">
        <f ca="1">IF(B72="","",IF(ISNA(VLOOKUP($B72,'B-1 On-Site Hedge Baseline'!$B$1:$L$257,10,FALSE)),"",(VLOOKUP($B72,'B-1 On-Site Hedge Baseline'!$B$1:$L$257,10,FALSE))))</f>
        <v>Low Strategic Significance</v>
      </c>
      <c r="J72" s="382">
        <f ca="1">IF(B72="","",IF(ISNA(VLOOKUP($B72,'B-1 On-Site Hedge Baseline'!$B$1:$L$257,11,FALSE)),"",(VLOOKUP($B72,'B-1 On-Site Hedge Baseline'!$B$1:$L$257,11,FALSE))))</f>
        <v>1</v>
      </c>
      <c r="K72" s="382">
        <f ca="1">IF(B72="","",IF(ISNA(VLOOKUP($B72,'B-1 On-Site Hedge Baseline'!$B$1:$U$257,13,FALSE)),"",(VLOOKUP($B72,'B-1 On-Site Hedge Baseline'!$B$1:$U$257,13,FALSE))))</f>
        <v>0.45019999999999999</v>
      </c>
      <c r="L72" s="386" t="str">
        <f ca="1">IF(B72="","",IF(ISNA(VLOOKUP($B72,'B-1 On-Site Hedge Baseline'!$B$1:$U$257,12,FALSE)),"",(VLOOKUP($B72,'B-1 On-Site Hedge Baseline'!$B$1:$U$257,12,FALSE))))</f>
        <v>Same distinctiveness band or better</v>
      </c>
      <c r="M72" s="315" t="s">
        <v>171</v>
      </c>
      <c r="N72" s="362" t="str">
        <f ca="1">IFERROR(IF(B72="","",INDEX('G-6 Hedgerow Data'!$AN$3:$AZ$15,MATCH(C72,'G-6 Hedgerow Data'!$AM$3:$AM$15,0),MATCH(M72,'G-6 Hedgerow Data'!$AN$2:$AZ$2,0))),"")</f>
        <v>Low - Medium</v>
      </c>
      <c r="O72" s="363" t="str">
        <f t="shared" ca="1" si="2"/>
        <v>Lower Distinctiveness Habitat - Good</v>
      </c>
      <c r="P72" s="417">
        <f>IF(B72="","",VLOOKUP(B72,'B-1 On-Site Hedge Baseline'!$B$10:T317,16,FALSE))</f>
        <v>0.22509999999999999</v>
      </c>
      <c r="Q72" s="362" t="str">
        <f>IF(M72="","",VLOOKUP(M72,'G-6 Hedgerow Data'!$B$2:$AG$15,2,FALSE))</f>
        <v>Medium</v>
      </c>
      <c r="R72" s="363">
        <f>IF(M72="","",VLOOKUP(M72,'G-6 Hedgerow Data'!$B$2:$AG$15,3,FALSE))</f>
        <v>4</v>
      </c>
      <c r="S72" s="125" t="s">
        <v>68</v>
      </c>
      <c r="T72" s="401">
        <f>IFERROR(VLOOKUP(S72,'G-1 All Habitats'!$Z$2:$AA$9,2,FALSE),"")</f>
        <v>3</v>
      </c>
      <c r="U72" s="122" t="s">
        <v>1037</v>
      </c>
      <c r="V72" s="382" t="str">
        <f>IF(U72="","",IF(VLOOKUP(U72,'G-3 Multipliers'!$L$3:$N$6,2,FALSE)=0,"Spatial Data Missing ⚠",VLOOKUP(U72,'G-3 Multipliers'!$L$3:$N$6,2,FALSE)))</f>
        <v>Low Strategic Significance</v>
      </c>
      <c r="W72" s="386">
        <f>IF(U72="","",IF(VLOOKUP(U72,'G-3 Multipliers'!$L$3:$N$6,3,FALSE)=0,"Spatial Data Missing ⚠",VLOOKUP(U72,'G-3 Multipliers'!$L$3:$N$6,3,FALSE)))</f>
        <v>1</v>
      </c>
      <c r="X72" s="362">
        <f ca="1">IFERROR(IF(OR(LEFT(O72,5)="Error",LEFT(N72,5)="Error",T72="Error"),"Check Data ⚠",IF(F72&lt;R72,INDEX('G-6 Hedgerow Data'!$S$3:$AE$14,MATCH(C72,'G-6 Hedgerow Data'!$B$3:$B$14,0),MATCH(M72,'G-6 Hedgerow Data'!$S$2:$AE$2,0)),INDEX('G-6 Hedgerow Data'!$K$3:$Q$14,MATCH(M72,'G-6 Hedgerow Data'!$B$3:$B$14,0),MATCH(O72,'G-6 Hedgerow Data'!$K$2:$Q$2,0)))),"")</f>
        <v>5</v>
      </c>
      <c r="Y72" s="159"/>
      <c r="Z72" s="159"/>
      <c r="AA72" s="370" t="str">
        <f t="shared" ca="1" si="3"/>
        <v>Standard time to target condition applied</v>
      </c>
      <c r="AB72" s="383">
        <f t="shared" ca="1" si="4"/>
        <v>5</v>
      </c>
      <c r="AC72" s="384">
        <f t="shared" ca="1" si="0"/>
        <v>0.83682870060000003</v>
      </c>
      <c r="AD72" s="398" t="str">
        <f>IF(M72="","",VLOOKUP(M72,'G-6 Hedgerow Data'!$B$3:$AG$15,31,FALSE))</f>
        <v>Low</v>
      </c>
      <c r="AE72" s="370" t="str">
        <f t="shared" ca="1" si="5"/>
        <v>Standard difficulty applied</v>
      </c>
      <c r="AF72" s="370" t="str">
        <f t="shared" ca="1" si="6"/>
        <v>Low</v>
      </c>
      <c r="AG72" s="386">
        <f ca="1">IFERROR(IF(O72="","",VLOOKUP(AD72,'G-3 Multipliers'!$P$3:$Q$6,2,FALSE)),"")</f>
        <v>1</v>
      </c>
      <c r="AH72" s="376">
        <f t="shared" ca="1" si="7"/>
        <v>2.3339014050506002</v>
      </c>
      <c r="AI72" s="188"/>
      <c r="AJ72" s="118"/>
      <c r="AK72" s="120"/>
      <c r="AT72" s="30" t="str">
        <f>IFERROR(INDEX('G-6 Hedgerow Data'!$BJ$3:$BJ$15,MATCH(M72,'G-6 Hedgerow Data'!$B$3:$B$15,0)),"")</f>
        <v>Hedgecond1</v>
      </c>
    </row>
    <row r="73" spans="2:46" ht="28.5" x14ac:dyDescent="0.2">
      <c r="B73" s="392">
        <f>'B-1 On-Site Hedge Baseline'!AK71</f>
        <v>184</v>
      </c>
      <c r="C73" s="382" t="str">
        <f ca="1">IF(B73="","",IF(ISNA(VLOOKUP($B73,'B-1 On-Site Hedge Baseline'!$B$1:$L$257,3,FALSE)),"",(VLOOKUP($B73,'B-1 On-Site Hedge Baseline'!$B$1:$L$257,3,FALSE))))</f>
        <v>Native hedgerow</v>
      </c>
      <c r="D73" s="382">
        <f ca="1">IF(B73="","",IF(ISNA(VLOOKUP($B73,'B-1 On-Site Hedge Baseline'!$B$1:$L$257,4,FALSE)),"",(VLOOKUP($B73,'B-1 On-Site Hedge Baseline'!$B$1:$L$257,4,FALSE))))</f>
        <v>4.07E-2</v>
      </c>
      <c r="E73" s="382" t="str">
        <f ca="1">IF(B73="","",IF(ISNA(VLOOKUP($B73,'B-1 On-Site Hedge Baseline'!$B$1:$L$257,5,FALSE)),"",(VLOOKUP($B73,'B-1 On-Site Hedge Baseline'!$B$1:$L$257,5,FALSE))))</f>
        <v>Low</v>
      </c>
      <c r="F73" s="382">
        <f ca="1">IF(B73="","",IF(ISNA(VLOOKUP($B73,'B-1 On-Site Hedge Baseline'!$B$1:$L$257,6,FALSE)),"",(VLOOKUP($B73,'B-1 On-Site Hedge Baseline'!$B$1:$L$257,6,FALSE))))</f>
        <v>2</v>
      </c>
      <c r="G73" s="382" t="str">
        <f ca="1">IF(B73="","",IF(ISNA(VLOOKUP($B73,'B-1 On-Site Hedge Baseline'!$B$1:$L$257,7,FALSE)),"",(VLOOKUP($B73,'B-1 On-Site Hedge Baseline'!$B$1:$L$257,7,FALSE))))</f>
        <v>Poor</v>
      </c>
      <c r="H73" s="382">
        <f ca="1">IF(B73="","",IF(ISNA(VLOOKUP($B73,'B-1 On-Site Hedge Baseline'!$B$1:$L$257,8,FALSE)),"",(VLOOKUP($B73,'B-1 On-Site Hedge Baseline'!$B$1:$L$257,8,FALSE))))</f>
        <v>1</v>
      </c>
      <c r="I73" s="382" t="str">
        <f ca="1">IF(B73="","",IF(ISNA(VLOOKUP($B73,'B-1 On-Site Hedge Baseline'!$B$1:$L$257,10,FALSE)),"",(VLOOKUP($B73,'B-1 On-Site Hedge Baseline'!$B$1:$L$257,10,FALSE))))</f>
        <v>Low Strategic Significance</v>
      </c>
      <c r="J73" s="382">
        <f ca="1">IF(B73="","",IF(ISNA(VLOOKUP($B73,'B-1 On-Site Hedge Baseline'!$B$1:$L$257,11,FALSE)),"",(VLOOKUP($B73,'B-1 On-Site Hedge Baseline'!$B$1:$L$257,11,FALSE))))</f>
        <v>1</v>
      </c>
      <c r="K73" s="382">
        <f ca="1">IF(B73="","",IF(ISNA(VLOOKUP($B73,'B-1 On-Site Hedge Baseline'!$B$1:$U$257,13,FALSE)),"",(VLOOKUP($B73,'B-1 On-Site Hedge Baseline'!$B$1:$U$257,13,FALSE))))</f>
        <v>8.14E-2</v>
      </c>
      <c r="L73" s="386" t="str">
        <f ca="1">IF(B73="","",IF(ISNA(VLOOKUP($B73,'B-1 On-Site Hedge Baseline'!$B$1:$U$257,12,FALSE)),"",(VLOOKUP($B73,'B-1 On-Site Hedge Baseline'!$B$1:$U$257,12,FALSE))))</f>
        <v>Same distinctiveness band or better</v>
      </c>
      <c r="M73" s="315" t="s">
        <v>171</v>
      </c>
      <c r="N73" s="362" t="str">
        <f ca="1">IFERROR(IF(B73="","",INDEX('G-6 Hedgerow Data'!$AN$3:$AZ$15,MATCH(C73,'G-6 Hedgerow Data'!$AM$3:$AM$15,0),MATCH(M73,'G-6 Hedgerow Data'!$AN$2:$AZ$2,0))),"")</f>
        <v>Low - Medium</v>
      </c>
      <c r="O73" s="363" t="str">
        <f t="shared" ca="1" si="2"/>
        <v>Lower Distinctiveness Habitat - Good</v>
      </c>
      <c r="P73" s="417">
        <f>IF(B73="","",VLOOKUP(B73,'B-1 On-Site Hedge Baseline'!$B$10:T318,16,FALSE))</f>
        <v>4.07E-2</v>
      </c>
      <c r="Q73" s="362" t="str">
        <f>IF(M73="","",VLOOKUP(M73,'G-6 Hedgerow Data'!$B$2:$AG$15,2,FALSE))</f>
        <v>Medium</v>
      </c>
      <c r="R73" s="363">
        <f>IF(M73="","",VLOOKUP(M73,'G-6 Hedgerow Data'!$B$2:$AG$15,3,FALSE))</f>
        <v>4</v>
      </c>
      <c r="S73" s="125" t="s">
        <v>68</v>
      </c>
      <c r="T73" s="401">
        <f>IFERROR(VLOOKUP(S73,'G-1 All Habitats'!$Z$2:$AA$9,2,FALSE),"")</f>
        <v>3</v>
      </c>
      <c r="U73" s="122" t="s">
        <v>1037</v>
      </c>
      <c r="V73" s="382" t="str">
        <f>IF(U73="","",IF(VLOOKUP(U73,'G-3 Multipliers'!$L$3:$N$6,2,FALSE)=0,"Spatial Data Missing ⚠",VLOOKUP(U73,'G-3 Multipliers'!$L$3:$N$6,2,FALSE)))</f>
        <v>Low Strategic Significance</v>
      </c>
      <c r="W73" s="386">
        <f>IF(U73="","",IF(VLOOKUP(U73,'G-3 Multipliers'!$L$3:$N$6,3,FALSE)=0,"Spatial Data Missing ⚠",VLOOKUP(U73,'G-3 Multipliers'!$L$3:$N$6,3,FALSE)))</f>
        <v>1</v>
      </c>
      <c r="X73" s="362">
        <f ca="1">IFERROR(IF(OR(LEFT(O73,5)="Error",LEFT(N73,5)="Error",T73="Error"),"Check Data ⚠",IF(F73&lt;R73,INDEX('G-6 Hedgerow Data'!$S$3:$AE$14,MATCH(C73,'G-6 Hedgerow Data'!$B$3:$B$14,0),MATCH(M73,'G-6 Hedgerow Data'!$S$2:$AE$2,0)),INDEX('G-6 Hedgerow Data'!$K$3:$Q$14,MATCH(M73,'G-6 Hedgerow Data'!$B$3:$B$14,0),MATCH(O73,'G-6 Hedgerow Data'!$K$2:$Q$2,0)))),"")</f>
        <v>5</v>
      </c>
      <c r="Y73" s="159"/>
      <c r="Z73" s="159"/>
      <c r="AA73" s="370" t="str">
        <f t="shared" ca="1" si="3"/>
        <v>Standard time to target condition applied</v>
      </c>
      <c r="AB73" s="383">
        <f t="shared" ca="1" si="4"/>
        <v>5</v>
      </c>
      <c r="AC73" s="384">
        <f t="shared" ca="1" si="0"/>
        <v>0.83682870060000003</v>
      </c>
      <c r="AD73" s="398" t="str">
        <f>IF(M73="","",VLOOKUP(M73,'G-6 Hedgerow Data'!$B$3:$AG$15,31,FALSE))</f>
        <v>Low</v>
      </c>
      <c r="AE73" s="370" t="str">
        <f t="shared" ca="1" si="5"/>
        <v>Standard difficulty applied</v>
      </c>
      <c r="AF73" s="370" t="str">
        <f t="shared" ca="1" si="6"/>
        <v>Low</v>
      </c>
      <c r="AG73" s="386">
        <f ca="1">IFERROR(IF(O73="","",VLOOKUP(AD73,'G-3 Multipliers'!$P$3:$Q$6,2,FALSE)),"")</f>
        <v>1</v>
      </c>
      <c r="AH73" s="376">
        <f t="shared" ca="1" si="7"/>
        <v>0.42198928114420009</v>
      </c>
      <c r="AI73" s="188"/>
      <c r="AJ73" s="118"/>
      <c r="AK73" s="120"/>
      <c r="AT73" s="30" t="str">
        <f>IFERROR(INDEX('G-6 Hedgerow Data'!$BJ$3:$BJ$15,MATCH(M73,'G-6 Hedgerow Data'!$B$3:$B$15,0)),"")</f>
        <v>Hedgecond1</v>
      </c>
    </row>
    <row r="74" spans="2:46" ht="28.5" x14ac:dyDescent="0.2">
      <c r="B74" s="392">
        <f>'B-1 On-Site Hedge Baseline'!AK72</f>
        <v>189</v>
      </c>
      <c r="C74" s="382" t="str">
        <f ca="1">IF(B74="","",IF(ISNA(VLOOKUP($B74,'B-1 On-Site Hedge Baseline'!$B$1:$L$257,3,FALSE)),"",(VLOOKUP($B74,'B-1 On-Site Hedge Baseline'!$B$1:$L$257,3,FALSE))))</f>
        <v>Native hedgerow with trees</v>
      </c>
      <c r="D74" s="382">
        <f ca="1">IF(B74="","",IF(ISNA(VLOOKUP($B74,'B-1 On-Site Hedge Baseline'!$B$1:$L$257,4,FALSE)),"",(VLOOKUP($B74,'B-1 On-Site Hedge Baseline'!$B$1:$L$257,4,FALSE))))</f>
        <v>0.1603</v>
      </c>
      <c r="E74" s="382" t="str">
        <f ca="1">IF(B74="","",IF(ISNA(VLOOKUP($B74,'B-1 On-Site Hedge Baseline'!$B$1:$L$257,5,FALSE)),"",(VLOOKUP($B74,'B-1 On-Site Hedge Baseline'!$B$1:$L$257,5,FALSE))))</f>
        <v>Medium</v>
      </c>
      <c r="F74" s="382">
        <f ca="1">IF(B74="","",IF(ISNA(VLOOKUP($B74,'B-1 On-Site Hedge Baseline'!$B$1:$L$257,6,FALSE)),"",(VLOOKUP($B74,'B-1 On-Site Hedge Baseline'!$B$1:$L$257,6,FALSE))))</f>
        <v>4</v>
      </c>
      <c r="G74" s="382" t="str">
        <f ca="1">IF(B74="","",IF(ISNA(VLOOKUP($B74,'B-1 On-Site Hedge Baseline'!$B$1:$L$257,7,FALSE)),"",(VLOOKUP($B74,'B-1 On-Site Hedge Baseline'!$B$1:$L$257,7,FALSE))))</f>
        <v>Poor</v>
      </c>
      <c r="H74" s="382">
        <f ca="1">IF(B74="","",IF(ISNA(VLOOKUP($B74,'B-1 On-Site Hedge Baseline'!$B$1:$L$257,8,FALSE)),"",(VLOOKUP($B74,'B-1 On-Site Hedge Baseline'!$B$1:$L$257,8,FALSE))))</f>
        <v>1</v>
      </c>
      <c r="I74" s="382" t="str">
        <f ca="1">IF(B74="","",IF(ISNA(VLOOKUP($B74,'B-1 On-Site Hedge Baseline'!$B$1:$L$257,10,FALSE)),"",(VLOOKUP($B74,'B-1 On-Site Hedge Baseline'!$B$1:$L$257,10,FALSE))))</f>
        <v>Low Strategic Significance</v>
      </c>
      <c r="J74" s="382">
        <f ca="1">IF(B74="","",IF(ISNA(VLOOKUP($B74,'B-1 On-Site Hedge Baseline'!$B$1:$L$257,11,FALSE)),"",(VLOOKUP($B74,'B-1 On-Site Hedge Baseline'!$B$1:$L$257,11,FALSE))))</f>
        <v>1</v>
      </c>
      <c r="K74" s="382">
        <f ca="1">IF(B74="","",IF(ISNA(VLOOKUP($B74,'B-1 On-Site Hedge Baseline'!$B$1:$U$257,13,FALSE)),"",(VLOOKUP($B74,'B-1 On-Site Hedge Baseline'!$B$1:$U$257,13,FALSE))))</f>
        <v>0.64119999999999999</v>
      </c>
      <c r="L74" s="386" t="str">
        <f ca="1">IF(B74="","",IF(ISNA(VLOOKUP($B74,'B-1 On-Site Hedge Baseline'!$B$1:$U$257,12,FALSE)),"",(VLOOKUP($B74,'B-1 On-Site Hedge Baseline'!$B$1:$U$257,12,FALSE))))</f>
        <v>Same distinctiveness band or better</v>
      </c>
      <c r="M74" s="315" t="s">
        <v>168</v>
      </c>
      <c r="N74" s="362" t="str">
        <f ca="1">IFERROR(IF(B74="","",INDEX('G-6 Hedgerow Data'!$AN$3:$AZ$15,MATCH(C74,'G-6 Hedgerow Data'!$AM$3:$AM$15,0),MATCH(M74,'G-6 Hedgerow Data'!$AN$2:$AZ$2,0))),"")</f>
        <v>Medium - High</v>
      </c>
      <c r="O74" s="363" t="str">
        <f t="shared" ca="1" si="2"/>
        <v>Lower Distinctiveness Habitat - Good</v>
      </c>
      <c r="P74" s="417">
        <f>IF(B74="","",VLOOKUP(B74,'B-1 On-Site Hedge Baseline'!$B$10:T319,16,FALSE))</f>
        <v>0.1101</v>
      </c>
      <c r="Q74" s="362" t="str">
        <f>IF(M74="","",VLOOKUP(M74,'G-6 Hedgerow Data'!$B$2:$AG$15,2,FALSE))</f>
        <v>High</v>
      </c>
      <c r="R74" s="363">
        <f>IF(M74="","",VLOOKUP(M74,'G-6 Hedgerow Data'!$B$2:$AG$15,3,FALSE))</f>
        <v>6</v>
      </c>
      <c r="S74" s="125" t="s">
        <v>68</v>
      </c>
      <c r="T74" s="401">
        <f>IFERROR(VLOOKUP(S74,'G-1 All Habitats'!$Z$2:$AA$9,2,FALSE),"")</f>
        <v>3</v>
      </c>
      <c r="U74" s="122" t="s">
        <v>1037</v>
      </c>
      <c r="V74" s="382" t="str">
        <f>IF(U74="","",IF(VLOOKUP(U74,'G-3 Multipliers'!$L$3:$N$6,2,FALSE)=0,"Spatial Data Missing ⚠",VLOOKUP(U74,'G-3 Multipliers'!$L$3:$N$6,2,FALSE)))</f>
        <v>Low Strategic Significance</v>
      </c>
      <c r="W74" s="386">
        <f>IF(U74="","",IF(VLOOKUP(U74,'G-3 Multipliers'!$L$3:$N$6,3,FALSE)=0,"Spatial Data Missing ⚠",VLOOKUP(U74,'G-3 Multipliers'!$L$3:$N$6,3,FALSE)))</f>
        <v>1</v>
      </c>
      <c r="X74" s="362">
        <f ca="1">IFERROR(IF(OR(LEFT(O74,5)="Error",LEFT(N74,5)="Error",T74="Error"),"Check Data ⚠",IF(F74&lt;R74,INDEX('G-6 Hedgerow Data'!$S$3:$AE$14,MATCH(C74,'G-6 Hedgerow Data'!$B$3:$B$14,0),MATCH(M74,'G-6 Hedgerow Data'!$S$2:$AE$2,0)),INDEX('G-6 Hedgerow Data'!$K$3:$Q$14,MATCH(M74,'G-6 Hedgerow Data'!$B$3:$B$14,0),MATCH(O74,'G-6 Hedgerow Data'!$K$2:$Q$2,0)))),"")</f>
        <v>5</v>
      </c>
      <c r="Y74" s="159"/>
      <c r="Z74" s="159"/>
      <c r="AA74" s="370" t="str">
        <f t="shared" ca="1" si="3"/>
        <v>Standard time to target condition applied</v>
      </c>
      <c r="AB74" s="383">
        <f t="shared" ca="1" si="4"/>
        <v>5</v>
      </c>
      <c r="AC74" s="384">
        <f t="shared" ca="1" si="0"/>
        <v>0.83682870060000003</v>
      </c>
      <c r="AD74" s="398" t="str">
        <f>IF(M74="","",VLOOKUP(M74,'G-6 Hedgerow Data'!$B$3:$AG$15,31,FALSE))</f>
        <v>Low</v>
      </c>
      <c r="AE74" s="370" t="str">
        <f t="shared" ca="1" si="5"/>
        <v>Standard difficulty applied</v>
      </c>
      <c r="AF74" s="370" t="str">
        <f t="shared" ca="1" si="6"/>
        <v>Low</v>
      </c>
      <c r="AG74" s="386">
        <f ca="1">IFERROR(IF(O74="","",VLOOKUP(AD74,'G-3 Multipliers'!$P$3:$Q$6,2,FALSE)),"")</f>
        <v>1</v>
      </c>
      <c r="AH74" s="376">
        <f t="shared" ca="1" si="7"/>
        <v>1.7302877591048405</v>
      </c>
      <c r="AI74" s="188"/>
      <c r="AJ74" s="118"/>
      <c r="AK74" s="120"/>
      <c r="AT74" s="30" t="str">
        <f>IFERROR(INDEX('G-6 Hedgerow Data'!$BJ$3:$BJ$15,MATCH(M74,'G-6 Hedgerow Data'!$B$3:$B$15,0)),"")</f>
        <v>Hedgecond1</v>
      </c>
    </row>
    <row r="75" spans="2:46" ht="28.5" x14ac:dyDescent="0.2">
      <c r="B75" s="392">
        <f>'B-1 On-Site Hedge Baseline'!AK73</f>
        <v>192</v>
      </c>
      <c r="C75" s="382" t="str">
        <f ca="1">IF(B75="","",IF(ISNA(VLOOKUP($B75,'B-1 On-Site Hedge Baseline'!$B$1:$L$257,3,FALSE)),"",(VLOOKUP($B75,'B-1 On-Site Hedge Baseline'!$B$1:$L$257,3,FALSE))))</f>
        <v>Species-rich native hedgerow</v>
      </c>
      <c r="D75" s="382">
        <f ca="1">IF(B75="","",IF(ISNA(VLOOKUP($B75,'B-1 On-Site Hedge Baseline'!$B$1:$L$257,4,FALSE)),"",(VLOOKUP($B75,'B-1 On-Site Hedge Baseline'!$B$1:$L$257,4,FALSE))))</f>
        <v>0.35210000000000002</v>
      </c>
      <c r="E75" s="382" t="str">
        <f ca="1">IF(B75="","",IF(ISNA(VLOOKUP($B75,'B-1 On-Site Hedge Baseline'!$B$1:$L$257,5,FALSE)),"",(VLOOKUP($B75,'B-1 On-Site Hedge Baseline'!$B$1:$L$257,5,FALSE))))</f>
        <v>Medium</v>
      </c>
      <c r="F75" s="382">
        <f ca="1">IF(B75="","",IF(ISNA(VLOOKUP($B75,'B-1 On-Site Hedge Baseline'!$B$1:$L$257,6,FALSE)),"",(VLOOKUP($B75,'B-1 On-Site Hedge Baseline'!$B$1:$L$257,6,FALSE))))</f>
        <v>4</v>
      </c>
      <c r="G75" s="382" t="str">
        <f ca="1">IF(B75="","",IF(ISNA(VLOOKUP($B75,'B-1 On-Site Hedge Baseline'!$B$1:$L$257,7,FALSE)),"",(VLOOKUP($B75,'B-1 On-Site Hedge Baseline'!$B$1:$L$257,7,FALSE))))</f>
        <v>Good</v>
      </c>
      <c r="H75" s="382">
        <f ca="1">IF(B75="","",IF(ISNA(VLOOKUP($B75,'B-1 On-Site Hedge Baseline'!$B$1:$L$257,8,FALSE)),"",(VLOOKUP($B75,'B-1 On-Site Hedge Baseline'!$B$1:$L$257,8,FALSE))))</f>
        <v>3</v>
      </c>
      <c r="I75" s="382" t="str">
        <f ca="1">IF(B75="","",IF(ISNA(VLOOKUP($B75,'B-1 On-Site Hedge Baseline'!$B$1:$L$257,10,FALSE)),"",(VLOOKUP($B75,'B-1 On-Site Hedge Baseline'!$B$1:$L$257,10,FALSE))))</f>
        <v>Low Strategic Significance</v>
      </c>
      <c r="J75" s="382">
        <f ca="1">IF(B75="","",IF(ISNA(VLOOKUP($B75,'B-1 On-Site Hedge Baseline'!$B$1:$L$257,11,FALSE)),"",(VLOOKUP($B75,'B-1 On-Site Hedge Baseline'!$B$1:$L$257,11,FALSE))))</f>
        <v>1</v>
      </c>
      <c r="K75" s="382">
        <f ca="1">IF(B75="","",IF(ISNA(VLOOKUP($B75,'B-1 On-Site Hedge Baseline'!$B$1:$U$257,13,FALSE)),"",(VLOOKUP($B75,'B-1 On-Site Hedge Baseline'!$B$1:$U$257,13,FALSE))))</f>
        <v>4.2252000000000001</v>
      </c>
      <c r="L75" s="386" t="str">
        <f ca="1">IF(B75="","",IF(ISNA(VLOOKUP($B75,'B-1 On-Site Hedge Baseline'!$B$1:$U$257,12,FALSE)),"",(VLOOKUP($B75,'B-1 On-Site Hedge Baseline'!$B$1:$U$257,12,FALSE))))</f>
        <v>Same distinctiveness band or better</v>
      </c>
      <c r="M75" s="315" t="s">
        <v>168</v>
      </c>
      <c r="N75" s="362" t="str">
        <f ca="1">IFERROR(IF(B75="","",INDEX('G-6 Hedgerow Data'!$AN$3:$AZ$15,MATCH(C75,'G-6 Hedgerow Data'!$AM$3:$AM$15,0),MATCH(M75,'G-6 Hedgerow Data'!$AN$2:$AZ$2,0))),"")</f>
        <v>Medium - High</v>
      </c>
      <c r="O75" s="363" t="str">
        <f t="shared" ca="1" si="2"/>
        <v>Lower Distinctiveness Habitat - Good</v>
      </c>
      <c r="P75" s="417">
        <f>IF(B75="","",VLOOKUP(B75,'B-1 On-Site Hedge Baseline'!$B$10:T320,16,FALSE))</f>
        <v>0.3518</v>
      </c>
      <c r="Q75" s="362" t="str">
        <f>IF(M75="","",VLOOKUP(M75,'G-6 Hedgerow Data'!$B$2:$AG$15,2,FALSE))</f>
        <v>High</v>
      </c>
      <c r="R75" s="363">
        <f>IF(M75="","",VLOOKUP(M75,'G-6 Hedgerow Data'!$B$2:$AG$15,3,FALSE))</f>
        <v>6</v>
      </c>
      <c r="S75" s="125" t="s">
        <v>68</v>
      </c>
      <c r="T75" s="401">
        <f>IFERROR(VLOOKUP(S75,'G-1 All Habitats'!$Z$2:$AA$9,2,FALSE),"")</f>
        <v>3</v>
      </c>
      <c r="U75" s="122" t="s">
        <v>1037</v>
      </c>
      <c r="V75" s="382" t="str">
        <f>IF(U75="","",IF(VLOOKUP(U75,'G-3 Multipliers'!$L$3:$N$6,2,FALSE)=0,"Spatial Data Missing ⚠",VLOOKUP(U75,'G-3 Multipliers'!$L$3:$N$6,2,FALSE)))</f>
        <v>Low Strategic Significance</v>
      </c>
      <c r="W75" s="386">
        <f>IF(U75="","",IF(VLOOKUP(U75,'G-3 Multipliers'!$L$3:$N$6,3,FALSE)=0,"Spatial Data Missing ⚠",VLOOKUP(U75,'G-3 Multipliers'!$L$3:$N$6,3,FALSE)))</f>
        <v>1</v>
      </c>
      <c r="X75" s="362">
        <f ca="1">IFERROR(IF(OR(LEFT(O75,5)="Error",LEFT(N75,5)="Error",T75="Error"),"Check Data ⚠",IF(F75&lt;R75,INDEX('G-6 Hedgerow Data'!$S$3:$AE$14,MATCH(C75,'G-6 Hedgerow Data'!$B$3:$B$14,0),MATCH(M75,'G-6 Hedgerow Data'!$S$2:$AE$2,0)),INDEX('G-6 Hedgerow Data'!$K$3:$Q$14,MATCH(M75,'G-6 Hedgerow Data'!$B$3:$B$14,0),MATCH(O75,'G-6 Hedgerow Data'!$K$2:$Q$2,0)))),"")</f>
        <v>10</v>
      </c>
      <c r="Y75" s="159"/>
      <c r="Z75" s="159"/>
      <c r="AA75" s="370" t="str">
        <f t="shared" ca="1" si="3"/>
        <v>Standard time to target condition applied</v>
      </c>
      <c r="AB75" s="383">
        <f t="shared" ca="1" si="4"/>
        <v>10</v>
      </c>
      <c r="AC75" s="384">
        <f t="shared" ca="1" si="0"/>
        <v>0.70028227419999989</v>
      </c>
      <c r="AD75" s="398" t="str">
        <f>IF(M75="","",VLOOKUP(M75,'G-6 Hedgerow Data'!$B$3:$AG$15,31,FALSE))</f>
        <v>Low</v>
      </c>
      <c r="AE75" s="370" t="str">
        <f t="shared" ca="1" si="5"/>
        <v>Standard difficulty applied</v>
      </c>
      <c r="AF75" s="370" t="str">
        <f t="shared" ca="1" si="6"/>
        <v>Low</v>
      </c>
      <c r="AG75" s="386">
        <f ca="1">IFERROR(IF(O75="","",VLOOKUP(AD75,'G-3 Multipliers'!$P$3:$Q$6,2,FALSE)),"")</f>
        <v>1</v>
      </c>
      <c r="AH75" s="376">
        <f t="shared" ca="1" si="7"/>
        <v>5.6997558243813602</v>
      </c>
      <c r="AI75" s="188"/>
      <c r="AJ75" s="118"/>
      <c r="AK75" s="120"/>
      <c r="AT75" s="30" t="str">
        <f>IFERROR(INDEX('G-6 Hedgerow Data'!$BJ$3:$BJ$15,MATCH(M75,'G-6 Hedgerow Data'!$B$3:$B$15,0)),"")</f>
        <v>Hedgecond1</v>
      </c>
    </row>
    <row r="76" spans="2:46" ht="28.5" x14ac:dyDescent="0.2">
      <c r="B76" s="392">
        <f>'B-1 On-Site Hedge Baseline'!AK74</f>
        <v>194</v>
      </c>
      <c r="C76" s="382" t="str">
        <f ca="1">IF(B76="","",IF(ISNA(VLOOKUP($B76,'B-1 On-Site Hedge Baseline'!$B$1:$L$257,3,FALSE)),"",(VLOOKUP($B76,'B-1 On-Site Hedge Baseline'!$B$1:$L$257,3,FALSE))))</f>
        <v>Species-rich native hedgerow</v>
      </c>
      <c r="D76" s="382">
        <f ca="1">IF(B76="","",IF(ISNA(VLOOKUP($B76,'B-1 On-Site Hedge Baseline'!$B$1:$L$257,4,FALSE)),"",(VLOOKUP($B76,'B-1 On-Site Hedge Baseline'!$B$1:$L$257,4,FALSE))))</f>
        <v>0.56069999999999998</v>
      </c>
      <c r="E76" s="382" t="str">
        <f ca="1">IF(B76="","",IF(ISNA(VLOOKUP($B76,'B-1 On-Site Hedge Baseline'!$B$1:$L$257,5,FALSE)),"",(VLOOKUP($B76,'B-1 On-Site Hedge Baseline'!$B$1:$L$257,5,FALSE))))</f>
        <v>Medium</v>
      </c>
      <c r="F76" s="382">
        <f ca="1">IF(B76="","",IF(ISNA(VLOOKUP($B76,'B-1 On-Site Hedge Baseline'!$B$1:$L$257,6,FALSE)),"",(VLOOKUP($B76,'B-1 On-Site Hedge Baseline'!$B$1:$L$257,6,FALSE))))</f>
        <v>4</v>
      </c>
      <c r="G76" s="382" t="str">
        <f ca="1">IF(B76="","",IF(ISNA(VLOOKUP($B76,'B-1 On-Site Hedge Baseline'!$B$1:$L$257,7,FALSE)),"",(VLOOKUP($B76,'B-1 On-Site Hedge Baseline'!$B$1:$L$257,7,FALSE))))</f>
        <v>Good</v>
      </c>
      <c r="H76" s="382">
        <f ca="1">IF(B76="","",IF(ISNA(VLOOKUP($B76,'B-1 On-Site Hedge Baseline'!$B$1:$L$257,8,FALSE)),"",(VLOOKUP($B76,'B-1 On-Site Hedge Baseline'!$B$1:$L$257,8,FALSE))))</f>
        <v>3</v>
      </c>
      <c r="I76" s="382" t="str">
        <f ca="1">IF(B76="","",IF(ISNA(VLOOKUP($B76,'B-1 On-Site Hedge Baseline'!$B$1:$L$257,10,FALSE)),"",(VLOOKUP($B76,'B-1 On-Site Hedge Baseline'!$B$1:$L$257,10,FALSE))))</f>
        <v>Low Strategic Significance</v>
      </c>
      <c r="J76" s="382">
        <f ca="1">IF(B76="","",IF(ISNA(VLOOKUP($B76,'B-1 On-Site Hedge Baseline'!$B$1:$L$257,11,FALSE)),"",(VLOOKUP($B76,'B-1 On-Site Hedge Baseline'!$B$1:$L$257,11,FALSE))))</f>
        <v>1</v>
      </c>
      <c r="K76" s="382">
        <f ca="1">IF(B76="","",IF(ISNA(VLOOKUP($B76,'B-1 On-Site Hedge Baseline'!$B$1:$U$257,13,FALSE)),"",(VLOOKUP($B76,'B-1 On-Site Hedge Baseline'!$B$1:$U$257,13,FALSE))))</f>
        <v>6.7283999999999997</v>
      </c>
      <c r="L76" s="386" t="str">
        <f ca="1">IF(B76="","",IF(ISNA(VLOOKUP($B76,'B-1 On-Site Hedge Baseline'!$B$1:$U$257,12,FALSE)),"",(VLOOKUP($B76,'B-1 On-Site Hedge Baseline'!$B$1:$U$257,12,FALSE))))</f>
        <v>Same distinctiveness band or better</v>
      </c>
      <c r="M76" s="315" t="s">
        <v>168</v>
      </c>
      <c r="N76" s="362" t="str">
        <f ca="1">IFERROR(IF(B76="","",INDEX('G-6 Hedgerow Data'!$AN$3:$AZ$15,MATCH(C76,'G-6 Hedgerow Data'!$AM$3:$AM$15,0),MATCH(M76,'G-6 Hedgerow Data'!$AN$2:$AZ$2,0))),"")</f>
        <v>Medium - High</v>
      </c>
      <c r="O76" s="363" t="str">
        <f t="shared" ca="1" si="2"/>
        <v>Lower Distinctiveness Habitat - Good</v>
      </c>
      <c r="P76" s="417">
        <f>IF(B76="","",VLOOKUP(B76,'B-1 On-Site Hedge Baseline'!$B$10:T321,16,FALSE))</f>
        <v>0.55569999999999997</v>
      </c>
      <c r="Q76" s="362" t="str">
        <f>IF(M76="","",VLOOKUP(M76,'G-6 Hedgerow Data'!$B$2:$AG$15,2,FALSE))</f>
        <v>High</v>
      </c>
      <c r="R76" s="363">
        <f>IF(M76="","",VLOOKUP(M76,'G-6 Hedgerow Data'!$B$2:$AG$15,3,FALSE))</f>
        <v>6</v>
      </c>
      <c r="S76" s="125" t="s">
        <v>68</v>
      </c>
      <c r="T76" s="401">
        <f>IFERROR(VLOOKUP(S76,'G-1 All Habitats'!$Z$2:$AA$9,2,FALSE),"")</f>
        <v>3</v>
      </c>
      <c r="U76" s="122" t="s">
        <v>1037</v>
      </c>
      <c r="V76" s="382" t="str">
        <f>IF(U76="","",IF(VLOOKUP(U76,'G-3 Multipliers'!$L$3:$N$6,2,FALSE)=0,"Spatial Data Missing ⚠",VLOOKUP(U76,'G-3 Multipliers'!$L$3:$N$6,2,FALSE)))</f>
        <v>Low Strategic Significance</v>
      </c>
      <c r="W76" s="386">
        <f>IF(U76="","",IF(VLOOKUP(U76,'G-3 Multipliers'!$L$3:$N$6,3,FALSE)=0,"Spatial Data Missing ⚠",VLOOKUP(U76,'G-3 Multipliers'!$L$3:$N$6,3,FALSE)))</f>
        <v>1</v>
      </c>
      <c r="X76" s="362">
        <f ca="1">IFERROR(IF(OR(LEFT(O76,5)="Error",LEFT(N76,5)="Error",T76="Error"),"Check Data ⚠",IF(F76&lt;R76,INDEX('G-6 Hedgerow Data'!$S$3:$AE$14,MATCH(C76,'G-6 Hedgerow Data'!$B$3:$B$14,0),MATCH(M76,'G-6 Hedgerow Data'!$S$2:$AE$2,0)),INDEX('G-6 Hedgerow Data'!$K$3:$Q$14,MATCH(M76,'G-6 Hedgerow Data'!$B$3:$B$14,0),MATCH(O76,'G-6 Hedgerow Data'!$K$2:$Q$2,0)))),"")</f>
        <v>10</v>
      </c>
      <c r="Y76" s="159"/>
      <c r="Z76" s="159"/>
      <c r="AA76" s="370" t="str">
        <f t="shared" ca="1" si="3"/>
        <v>Standard time to target condition applied</v>
      </c>
      <c r="AB76" s="383">
        <f t="shared" ca="1" si="4"/>
        <v>10</v>
      </c>
      <c r="AC76" s="384">
        <f t="shared" ref="AC76:AC139" ca="1" si="8">IF(OR(S76="",M76=""),"",IF(LEFT(AB76,5)="Error ▲","Check Data ⚠",IF(AB76="Check Data ⚠","Check Data ⚠",VLOOKUP(AB76,TemporalMultipliers,3,FALSE))))</f>
        <v>0.70028227419999989</v>
      </c>
      <c r="AD76" s="398" t="str">
        <f>IF(M76="","",VLOOKUP(M76,'G-6 Hedgerow Data'!$B$3:$AG$15,31,FALSE))</f>
        <v>Low</v>
      </c>
      <c r="AE76" s="370" t="str">
        <f t="shared" ca="1" si="5"/>
        <v>Standard difficulty applied</v>
      </c>
      <c r="AF76" s="370" t="str">
        <f t="shared" ca="1" si="6"/>
        <v>Low</v>
      </c>
      <c r="AG76" s="386">
        <f ca="1">IFERROR(IF(O76="","",VLOOKUP(AD76,'G-3 Multipliers'!$P$3:$Q$6,2,FALSE)),"")</f>
        <v>1</v>
      </c>
      <c r="AH76" s="376">
        <f t="shared" ref="AH76:AH139" ca="1" si="9">IFERROR(IF(OR(M76="",S76="",U76=""),"",(((((P76*R76*T76)-(P76*F76*H76))*(AG76*AC76))+(P76*F76*H76))*(W76))),"")</f>
        <v>9.0032811586376411</v>
      </c>
      <c r="AI76" s="188"/>
      <c r="AJ76" s="118"/>
      <c r="AK76" s="120"/>
      <c r="AT76" s="30" t="str">
        <f>IFERROR(INDEX('G-6 Hedgerow Data'!$BJ$3:$BJ$15,MATCH(M76,'G-6 Hedgerow Data'!$B$3:$B$15,0)),"")</f>
        <v>Hedgecond1</v>
      </c>
    </row>
    <row r="77" spans="2:46" ht="28.5" x14ac:dyDescent="0.2">
      <c r="B77" s="392">
        <f>'B-1 On-Site Hedge Baseline'!AK75</f>
        <v>195</v>
      </c>
      <c r="C77" s="382" t="str">
        <f ca="1">IF(B77="","",IF(ISNA(VLOOKUP($B77,'B-1 On-Site Hedge Baseline'!$B$1:$L$257,3,FALSE)),"",(VLOOKUP($B77,'B-1 On-Site Hedge Baseline'!$B$1:$L$257,3,FALSE))))</f>
        <v>Native hedgerow</v>
      </c>
      <c r="D77" s="382">
        <f ca="1">IF(B77="","",IF(ISNA(VLOOKUP($B77,'B-1 On-Site Hedge Baseline'!$B$1:$L$257,4,FALSE)),"",(VLOOKUP($B77,'B-1 On-Site Hedge Baseline'!$B$1:$L$257,4,FALSE))))</f>
        <v>0.1709</v>
      </c>
      <c r="E77" s="382" t="str">
        <f ca="1">IF(B77="","",IF(ISNA(VLOOKUP($B77,'B-1 On-Site Hedge Baseline'!$B$1:$L$257,5,FALSE)),"",(VLOOKUP($B77,'B-1 On-Site Hedge Baseline'!$B$1:$L$257,5,FALSE))))</f>
        <v>Low</v>
      </c>
      <c r="F77" s="382">
        <f ca="1">IF(B77="","",IF(ISNA(VLOOKUP($B77,'B-1 On-Site Hedge Baseline'!$B$1:$L$257,6,FALSE)),"",(VLOOKUP($B77,'B-1 On-Site Hedge Baseline'!$B$1:$L$257,6,FALSE))))</f>
        <v>2</v>
      </c>
      <c r="G77" s="382" t="str">
        <f ca="1">IF(B77="","",IF(ISNA(VLOOKUP($B77,'B-1 On-Site Hedge Baseline'!$B$1:$L$257,7,FALSE)),"",(VLOOKUP($B77,'B-1 On-Site Hedge Baseline'!$B$1:$L$257,7,FALSE))))</f>
        <v>Poor</v>
      </c>
      <c r="H77" s="382">
        <f ca="1">IF(B77="","",IF(ISNA(VLOOKUP($B77,'B-1 On-Site Hedge Baseline'!$B$1:$L$257,8,FALSE)),"",(VLOOKUP($B77,'B-1 On-Site Hedge Baseline'!$B$1:$L$257,8,FALSE))))</f>
        <v>1</v>
      </c>
      <c r="I77" s="382" t="str">
        <f ca="1">IF(B77="","",IF(ISNA(VLOOKUP($B77,'B-1 On-Site Hedge Baseline'!$B$1:$L$257,10,FALSE)),"",(VLOOKUP($B77,'B-1 On-Site Hedge Baseline'!$B$1:$L$257,10,FALSE))))</f>
        <v>Low Strategic Significance</v>
      </c>
      <c r="J77" s="382">
        <f ca="1">IF(B77="","",IF(ISNA(VLOOKUP($B77,'B-1 On-Site Hedge Baseline'!$B$1:$L$257,11,FALSE)),"",(VLOOKUP($B77,'B-1 On-Site Hedge Baseline'!$B$1:$L$257,11,FALSE))))</f>
        <v>1</v>
      </c>
      <c r="K77" s="382">
        <f ca="1">IF(B77="","",IF(ISNA(VLOOKUP($B77,'B-1 On-Site Hedge Baseline'!$B$1:$U$257,13,FALSE)),"",(VLOOKUP($B77,'B-1 On-Site Hedge Baseline'!$B$1:$U$257,13,FALSE))))</f>
        <v>0.34179999999999999</v>
      </c>
      <c r="L77" s="386" t="str">
        <f ca="1">IF(B77="","",IF(ISNA(VLOOKUP($B77,'B-1 On-Site Hedge Baseline'!$B$1:$U$257,12,FALSE)),"",(VLOOKUP($B77,'B-1 On-Site Hedge Baseline'!$B$1:$U$257,12,FALSE))))</f>
        <v>Same distinctiveness band or better</v>
      </c>
      <c r="M77" s="315" t="s">
        <v>171</v>
      </c>
      <c r="N77" s="362" t="str">
        <f ca="1">IFERROR(IF(B77="","",INDEX('G-6 Hedgerow Data'!$AN$3:$AZ$15,MATCH(C77,'G-6 Hedgerow Data'!$AM$3:$AM$15,0),MATCH(M77,'G-6 Hedgerow Data'!$AN$2:$AZ$2,0))),"")</f>
        <v>Low - Medium</v>
      </c>
      <c r="O77" s="363" t="str">
        <f t="shared" ref="O77:O140" ca="1" si="10">IFERROR(IF(B77="","",IF(AND(LEFT(C77,55)&lt;&gt;LEFT(M77,55),N77="High - High"),"Error - Not like for like ▲",IF(H77&gt;T77,"Error - Can not reduce condition ▲",IF(AND(F77=R77,H77=T77),"Error - No enhancement ▲",IF(AND(C77&lt;&gt;M77,F77&lt;R77),"Lower Distinctiveness Habitat"&amp;" - "&amp;S77,G77&amp;" - "&amp;S77))))),"")</f>
        <v>Lower Distinctiveness Habitat - Good</v>
      </c>
      <c r="P77" s="417">
        <f>IF(B77="","",VLOOKUP(B77,'B-1 On-Site Hedge Baseline'!$B$10:T322,16,FALSE))</f>
        <v>0.1709</v>
      </c>
      <c r="Q77" s="362" t="str">
        <f>IF(M77="","",VLOOKUP(M77,'G-6 Hedgerow Data'!$B$2:$AG$15,2,FALSE))</f>
        <v>Medium</v>
      </c>
      <c r="R77" s="363">
        <f>IF(M77="","",VLOOKUP(M77,'G-6 Hedgerow Data'!$B$2:$AG$15,3,FALSE))</f>
        <v>4</v>
      </c>
      <c r="S77" s="125" t="s">
        <v>68</v>
      </c>
      <c r="T77" s="401">
        <f>IFERROR(VLOOKUP(S77,'G-1 All Habitats'!$Z$2:$AA$9,2,FALSE),"")</f>
        <v>3</v>
      </c>
      <c r="U77" s="122" t="s">
        <v>1037</v>
      </c>
      <c r="V77" s="382" t="str">
        <f>IF(U77="","",IF(VLOOKUP(U77,'G-3 Multipliers'!$L$3:$N$6,2,FALSE)=0,"Spatial Data Missing ⚠",VLOOKUP(U77,'G-3 Multipliers'!$L$3:$N$6,2,FALSE)))</f>
        <v>Low Strategic Significance</v>
      </c>
      <c r="W77" s="386">
        <f>IF(U77="","",IF(VLOOKUP(U77,'G-3 Multipliers'!$L$3:$N$6,3,FALSE)=0,"Spatial Data Missing ⚠",VLOOKUP(U77,'G-3 Multipliers'!$L$3:$N$6,3,FALSE)))</f>
        <v>1</v>
      </c>
      <c r="X77" s="362">
        <f ca="1">IFERROR(IF(OR(LEFT(O77,5)="Error",LEFT(N77,5)="Error",T77="Error"),"Check Data ⚠",IF(F77&lt;R77,INDEX('G-6 Hedgerow Data'!$S$3:$AE$14,MATCH(C77,'G-6 Hedgerow Data'!$B$3:$B$14,0),MATCH(M77,'G-6 Hedgerow Data'!$S$2:$AE$2,0)),INDEX('G-6 Hedgerow Data'!$K$3:$Q$14,MATCH(M77,'G-6 Hedgerow Data'!$B$3:$B$14,0),MATCH(O77,'G-6 Hedgerow Data'!$K$2:$Q$2,0)))),"")</f>
        <v>5</v>
      </c>
      <c r="Y77" s="159"/>
      <c r="Z77" s="159"/>
      <c r="AA77" s="370" t="str">
        <f t="shared" ref="AA77:AA140" ca="1"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Standard time to target condition applied</v>
      </c>
      <c r="AB77" s="383">
        <f t="shared" ref="AB77:AB140" ca="1" si="12">IF(X77="","",IF(AA77="Check Data ⚠","Check Data ⚠",IF(Y77="30+",0,IF(Z77="30+","30+ ⚠",IF(X77+Z77&gt;30,"30+ 'C-1 Site River Baseline'!",IF(AA77="Error -both advance and delayed habitat creation ▲","Check Data ⚠",IF(X77+Z77-Y77&gt;0,X77+Z77-Y77,IF(X77-Y77&lt;=0,0,))))))))</f>
        <v>5</v>
      </c>
      <c r="AC77" s="384">
        <f t="shared" ca="1" si="8"/>
        <v>0.83682870060000003</v>
      </c>
      <c r="AD77" s="398" t="str">
        <f>IF(M77="","",VLOOKUP(M77,'G-6 Hedgerow Data'!$B$3:$AG$15,31,FALSE))</f>
        <v>Low</v>
      </c>
      <c r="AE77" s="370" t="str">
        <f t="shared" ref="AE77:AE140" ca="1" si="13">IF(M77="","",IF(OR(LEFT(AA77,5)="Error ▲",AA77="Check Data ⚠"),"Check Data ⚠",IF(X77="","",IF($AA77="Check details - Is there evidence that habitat has reached target condition? ⚠","Low Difficulty - only applicable if all habitat created before losses ⚠","Standard difficulty applied"))))</f>
        <v>Standard difficulty applied</v>
      </c>
      <c r="AF77" s="370" t="str">
        <f t="shared" ref="AF77:AF140" ca="1" si="14">(IF(AND(AE77="Standard difficulty applied",X77&gt;Y77),AD77,IF(AND(AE77="Low Difficulty - only applicable if all habitat created before losses ⚠",Y77&gt;=X77),"Low",AD77)))</f>
        <v>Low</v>
      </c>
      <c r="AG77" s="386">
        <f ca="1">IFERROR(IF(O77="","",VLOOKUP(AD77,'G-3 Multipliers'!$P$3:$Q$6,2,FALSE)),"")</f>
        <v>1</v>
      </c>
      <c r="AH77" s="376">
        <f t="shared" ca="1" si="9"/>
        <v>1.7719402493253997</v>
      </c>
      <c r="AI77" s="188"/>
      <c r="AJ77" s="118"/>
      <c r="AK77" s="120"/>
      <c r="AT77" s="30" t="str">
        <f>IFERROR(INDEX('G-6 Hedgerow Data'!$BJ$3:$BJ$15,MATCH(M77,'G-6 Hedgerow Data'!$B$3:$B$15,0)),"")</f>
        <v>Hedgecond1</v>
      </c>
    </row>
    <row r="78" spans="2:46" ht="28.5" x14ac:dyDescent="0.2">
      <c r="B78" s="392">
        <f>'B-1 On-Site Hedge Baseline'!AK76</f>
        <v>200</v>
      </c>
      <c r="C78" s="382" t="str">
        <f ca="1">IF(B78="","",IF(ISNA(VLOOKUP($B78,'B-1 On-Site Hedge Baseline'!$B$1:$L$257,3,FALSE)),"",(VLOOKUP($B78,'B-1 On-Site Hedge Baseline'!$B$1:$L$257,3,FALSE))))</f>
        <v>Native hedgerow</v>
      </c>
      <c r="D78" s="382">
        <f ca="1">IF(B78="","",IF(ISNA(VLOOKUP($B78,'B-1 On-Site Hedge Baseline'!$B$1:$L$257,4,FALSE)),"",(VLOOKUP($B78,'B-1 On-Site Hedge Baseline'!$B$1:$L$257,4,FALSE))))</f>
        <v>0.20100000000000001</v>
      </c>
      <c r="E78" s="382" t="str">
        <f ca="1">IF(B78="","",IF(ISNA(VLOOKUP($B78,'B-1 On-Site Hedge Baseline'!$B$1:$L$257,5,FALSE)),"",(VLOOKUP($B78,'B-1 On-Site Hedge Baseline'!$B$1:$L$257,5,FALSE))))</f>
        <v>Low</v>
      </c>
      <c r="F78" s="382">
        <f ca="1">IF(B78="","",IF(ISNA(VLOOKUP($B78,'B-1 On-Site Hedge Baseline'!$B$1:$L$257,6,FALSE)),"",(VLOOKUP($B78,'B-1 On-Site Hedge Baseline'!$B$1:$L$257,6,FALSE))))</f>
        <v>2</v>
      </c>
      <c r="G78" s="382" t="str">
        <f ca="1">IF(B78="","",IF(ISNA(VLOOKUP($B78,'B-1 On-Site Hedge Baseline'!$B$1:$L$257,7,FALSE)),"",(VLOOKUP($B78,'B-1 On-Site Hedge Baseline'!$B$1:$L$257,7,FALSE))))</f>
        <v>Moderate</v>
      </c>
      <c r="H78" s="382">
        <f ca="1">IF(B78="","",IF(ISNA(VLOOKUP($B78,'B-1 On-Site Hedge Baseline'!$B$1:$L$257,8,FALSE)),"",(VLOOKUP($B78,'B-1 On-Site Hedge Baseline'!$B$1:$L$257,8,FALSE))))</f>
        <v>2</v>
      </c>
      <c r="I78" s="382" t="str">
        <f ca="1">IF(B78="","",IF(ISNA(VLOOKUP($B78,'B-1 On-Site Hedge Baseline'!$B$1:$L$257,10,FALSE)),"",(VLOOKUP($B78,'B-1 On-Site Hedge Baseline'!$B$1:$L$257,10,FALSE))))</f>
        <v>Low Strategic Significance</v>
      </c>
      <c r="J78" s="382">
        <f ca="1">IF(B78="","",IF(ISNA(VLOOKUP($B78,'B-1 On-Site Hedge Baseline'!$B$1:$L$257,11,FALSE)),"",(VLOOKUP($B78,'B-1 On-Site Hedge Baseline'!$B$1:$L$257,11,FALSE))))</f>
        <v>1</v>
      </c>
      <c r="K78" s="382">
        <f ca="1">IF(B78="","",IF(ISNA(VLOOKUP($B78,'B-1 On-Site Hedge Baseline'!$B$1:$U$257,13,FALSE)),"",(VLOOKUP($B78,'B-1 On-Site Hedge Baseline'!$B$1:$U$257,13,FALSE))))</f>
        <v>0.80400000000000005</v>
      </c>
      <c r="L78" s="386" t="str">
        <f ca="1">IF(B78="","",IF(ISNA(VLOOKUP($B78,'B-1 On-Site Hedge Baseline'!$B$1:$U$257,12,FALSE)),"",(VLOOKUP($B78,'B-1 On-Site Hedge Baseline'!$B$1:$U$257,12,FALSE))))</f>
        <v>Same distinctiveness band or better</v>
      </c>
      <c r="M78" s="315" t="s">
        <v>171</v>
      </c>
      <c r="N78" s="362" t="str">
        <f ca="1">IFERROR(IF(B78="","",INDEX('G-6 Hedgerow Data'!$AN$3:$AZ$15,MATCH(C78,'G-6 Hedgerow Data'!$AM$3:$AM$15,0),MATCH(M78,'G-6 Hedgerow Data'!$AN$2:$AZ$2,0))),"")</f>
        <v>Low - Medium</v>
      </c>
      <c r="O78" s="363" t="str">
        <f t="shared" ca="1" si="10"/>
        <v>Lower Distinctiveness Habitat - Good</v>
      </c>
      <c r="P78" s="417">
        <f>IF(B78="","",VLOOKUP(B78,'B-1 On-Site Hedge Baseline'!$B$10:T323,16,FALSE))</f>
        <v>0.20100000000000001</v>
      </c>
      <c r="Q78" s="362" t="str">
        <f>IF(M78="","",VLOOKUP(M78,'G-6 Hedgerow Data'!$B$2:$AG$15,2,FALSE))</f>
        <v>Medium</v>
      </c>
      <c r="R78" s="363">
        <f>IF(M78="","",VLOOKUP(M78,'G-6 Hedgerow Data'!$B$2:$AG$15,3,FALSE))</f>
        <v>4</v>
      </c>
      <c r="S78" s="125" t="s">
        <v>68</v>
      </c>
      <c r="T78" s="401">
        <f>IFERROR(VLOOKUP(S78,'G-1 All Habitats'!$Z$2:$AA$9,2,FALSE),"")</f>
        <v>3</v>
      </c>
      <c r="U78" s="122" t="s">
        <v>1037</v>
      </c>
      <c r="V78" s="382" t="str">
        <f>IF(U78="","",IF(VLOOKUP(U78,'G-3 Multipliers'!$L$3:$N$6,2,FALSE)=0,"Spatial Data Missing ⚠",VLOOKUP(U78,'G-3 Multipliers'!$L$3:$N$6,2,FALSE)))</f>
        <v>Low Strategic Significance</v>
      </c>
      <c r="W78" s="386">
        <f>IF(U78="","",IF(VLOOKUP(U78,'G-3 Multipliers'!$L$3:$N$6,3,FALSE)=0,"Spatial Data Missing ⚠",VLOOKUP(U78,'G-3 Multipliers'!$L$3:$N$6,3,FALSE)))</f>
        <v>1</v>
      </c>
      <c r="X78" s="362">
        <f ca="1">IFERROR(IF(OR(LEFT(O78,5)="Error",LEFT(N78,5)="Error",T78="Error"),"Check Data ⚠",IF(F78&lt;R78,INDEX('G-6 Hedgerow Data'!$S$3:$AE$14,MATCH(C78,'G-6 Hedgerow Data'!$B$3:$B$14,0),MATCH(M78,'G-6 Hedgerow Data'!$S$2:$AE$2,0)),INDEX('G-6 Hedgerow Data'!$K$3:$Q$14,MATCH(M78,'G-6 Hedgerow Data'!$B$3:$B$14,0),MATCH(O78,'G-6 Hedgerow Data'!$K$2:$Q$2,0)))),"")</f>
        <v>5</v>
      </c>
      <c r="Y78" s="159"/>
      <c r="Z78" s="159"/>
      <c r="AA78" s="370" t="str">
        <f t="shared" ca="1" si="11"/>
        <v>Standard time to target condition applied</v>
      </c>
      <c r="AB78" s="383">
        <f t="shared" ca="1" si="12"/>
        <v>5</v>
      </c>
      <c r="AC78" s="384">
        <f t="shared" ca="1" si="8"/>
        <v>0.83682870060000003</v>
      </c>
      <c r="AD78" s="398" t="str">
        <f>IF(M78="","",VLOOKUP(M78,'G-6 Hedgerow Data'!$B$3:$AG$15,31,FALSE))</f>
        <v>Low</v>
      </c>
      <c r="AE78" s="370" t="str">
        <f t="shared" ca="1" si="13"/>
        <v>Standard difficulty applied</v>
      </c>
      <c r="AF78" s="370" t="str">
        <f t="shared" ca="1" si="14"/>
        <v>Low</v>
      </c>
      <c r="AG78" s="386">
        <f ca="1">IFERROR(IF(O78="","",VLOOKUP(AD78,'G-3 Multipliers'!$P$3:$Q$6,2,FALSE)),"")</f>
        <v>1</v>
      </c>
      <c r="AH78" s="376">
        <f t="shared" ca="1" si="9"/>
        <v>2.1496205505648001</v>
      </c>
      <c r="AI78" s="188"/>
      <c r="AJ78" s="118"/>
      <c r="AK78" s="120"/>
      <c r="AT78" s="30" t="str">
        <f>IFERROR(INDEX('G-6 Hedgerow Data'!$BJ$3:$BJ$15,MATCH(M78,'G-6 Hedgerow Data'!$B$3:$B$15,0)),"")</f>
        <v>Hedgecond1</v>
      </c>
    </row>
    <row r="79" spans="2:46" ht="28.5" x14ac:dyDescent="0.2">
      <c r="B79" s="392">
        <f>'B-1 On-Site Hedge Baseline'!AK77</f>
        <v>201</v>
      </c>
      <c r="C79" s="382" t="str">
        <f ca="1">IF(B79="","",IF(ISNA(VLOOKUP($B79,'B-1 On-Site Hedge Baseline'!$B$1:$L$257,3,FALSE)),"",(VLOOKUP($B79,'B-1 On-Site Hedge Baseline'!$B$1:$L$257,3,FALSE))))</f>
        <v>Native hedgerow with trees</v>
      </c>
      <c r="D79" s="382">
        <f ca="1">IF(B79="","",IF(ISNA(VLOOKUP($B79,'B-1 On-Site Hedge Baseline'!$B$1:$L$257,4,FALSE)),"",(VLOOKUP($B79,'B-1 On-Site Hedge Baseline'!$B$1:$L$257,4,FALSE))))</f>
        <v>0.2089</v>
      </c>
      <c r="E79" s="382" t="str">
        <f ca="1">IF(B79="","",IF(ISNA(VLOOKUP($B79,'B-1 On-Site Hedge Baseline'!$B$1:$L$257,5,FALSE)),"",(VLOOKUP($B79,'B-1 On-Site Hedge Baseline'!$B$1:$L$257,5,FALSE))))</f>
        <v>Medium</v>
      </c>
      <c r="F79" s="382">
        <f ca="1">IF(B79="","",IF(ISNA(VLOOKUP($B79,'B-1 On-Site Hedge Baseline'!$B$1:$L$257,6,FALSE)),"",(VLOOKUP($B79,'B-1 On-Site Hedge Baseline'!$B$1:$L$257,6,FALSE))))</f>
        <v>4</v>
      </c>
      <c r="G79" s="382" t="str">
        <f ca="1">IF(B79="","",IF(ISNA(VLOOKUP($B79,'B-1 On-Site Hedge Baseline'!$B$1:$L$257,7,FALSE)),"",(VLOOKUP($B79,'B-1 On-Site Hedge Baseline'!$B$1:$L$257,7,FALSE))))</f>
        <v>Moderate</v>
      </c>
      <c r="H79" s="382">
        <f ca="1">IF(B79="","",IF(ISNA(VLOOKUP($B79,'B-1 On-Site Hedge Baseline'!$B$1:$L$257,8,FALSE)),"",(VLOOKUP($B79,'B-1 On-Site Hedge Baseline'!$B$1:$L$257,8,FALSE))))</f>
        <v>2</v>
      </c>
      <c r="I79" s="382" t="str">
        <f ca="1">IF(B79="","",IF(ISNA(VLOOKUP($B79,'B-1 On-Site Hedge Baseline'!$B$1:$L$257,10,FALSE)),"",(VLOOKUP($B79,'B-1 On-Site Hedge Baseline'!$B$1:$L$257,10,FALSE))))</f>
        <v>Low Strategic Significance</v>
      </c>
      <c r="J79" s="382">
        <f ca="1">IF(B79="","",IF(ISNA(VLOOKUP($B79,'B-1 On-Site Hedge Baseline'!$B$1:$L$257,11,FALSE)),"",(VLOOKUP($B79,'B-1 On-Site Hedge Baseline'!$B$1:$L$257,11,FALSE))))</f>
        <v>1</v>
      </c>
      <c r="K79" s="382">
        <f ca="1">IF(B79="","",IF(ISNA(VLOOKUP($B79,'B-1 On-Site Hedge Baseline'!$B$1:$U$257,13,FALSE)),"",(VLOOKUP($B79,'B-1 On-Site Hedge Baseline'!$B$1:$U$257,13,FALSE))))</f>
        <v>1.6712</v>
      </c>
      <c r="L79" s="386" t="str">
        <f ca="1">IF(B79="","",IF(ISNA(VLOOKUP($B79,'B-1 On-Site Hedge Baseline'!$B$1:$U$257,12,FALSE)),"",(VLOOKUP($B79,'B-1 On-Site Hedge Baseline'!$B$1:$U$257,12,FALSE))))</f>
        <v>Same distinctiveness band or better</v>
      </c>
      <c r="M79" s="315" t="s">
        <v>168</v>
      </c>
      <c r="N79" s="362" t="str">
        <f ca="1">IFERROR(IF(B79="","",INDEX('G-6 Hedgerow Data'!$AN$3:$AZ$15,MATCH(C79,'G-6 Hedgerow Data'!$AM$3:$AM$15,0),MATCH(M79,'G-6 Hedgerow Data'!$AN$2:$AZ$2,0))),"")</f>
        <v>Medium - High</v>
      </c>
      <c r="O79" s="363" t="str">
        <f t="shared" ca="1" si="10"/>
        <v>Lower Distinctiveness Habitat - Good</v>
      </c>
      <c r="P79" s="417">
        <f>IF(B79="","",VLOOKUP(B79,'B-1 On-Site Hedge Baseline'!$B$10:T324,16,FALSE))</f>
        <v>8.43E-2</v>
      </c>
      <c r="Q79" s="362" t="str">
        <f>IF(M79="","",VLOOKUP(M79,'G-6 Hedgerow Data'!$B$2:$AG$15,2,FALSE))</f>
        <v>High</v>
      </c>
      <c r="R79" s="363">
        <f>IF(M79="","",VLOOKUP(M79,'G-6 Hedgerow Data'!$B$2:$AG$15,3,FALSE))</f>
        <v>6</v>
      </c>
      <c r="S79" s="125" t="s">
        <v>68</v>
      </c>
      <c r="T79" s="401">
        <f>IFERROR(VLOOKUP(S79,'G-1 All Habitats'!$Z$2:$AA$9,2,FALSE),"")</f>
        <v>3</v>
      </c>
      <c r="U79" s="122" t="s">
        <v>1037</v>
      </c>
      <c r="V79" s="382" t="str">
        <f>IF(U79="","",IF(VLOOKUP(U79,'G-3 Multipliers'!$L$3:$N$6,2,FALSE)=0,"Spatial Data Missing ⚠",VLOOKUP(U79,'G-3 Multipliers'!$L$3:$N$6,2,FALSE)))</f>
        <v>Low Strategic Significance</v>
      </c>
      <c r="W79" s="386">
        <f>IF(U79="","",IF(VLOOKUP(U79,'G-3 Multipliers'!$L$3:$N$6,3,FALSE)=0,"Spatial Data Missing ⚠",VLOOKUP(U79,'G-3 Multipliers'!$L$3:$N$6,3,FALSE)))</f>
        <v>1</v>
      </c>
      <c r="X79" s="362">
        <f ca="1">IFERROR(IF(OR(LEFT(O79,5)="Error",LEFT(N79,5)="Error",T79="Error"),"Check Data ⚠",IF(F79&lt;R79,INDEX('G-6 Hedgerow Data'!$S$3:$AE$14,MATCH(C79,'G-6 Hedgerow Data'!$B$3:$B$14,0),MATCH(M79,'G-6 Hedgerow Data'!$S$2:$AE$2,0)),INDEX('G-6 Hedgerow Data'!$K$3:$Q$14,MATCH(M79,'G-6 Hedgerow Data'!$B$3:$B$14,0),MATCH(O79,'G-6 Hedgerow Data'!$K$2:$Q$2,0)))),"")</f>
        <v>5</v>
      </c>
      <c r="Y79" s="159"/>
      <c r="Z79" s="159"/>
      <c r="AA79" s="370" t="str">
        <f t="shared" ca="1" si="11"/>
        <v>Standard time to target condition applied</v>
      </c>
      <c r="AB79" s="383">
        <f t="shared" ca="1" si="12"/>
        <v>5</v>
      </c>
      <c r="AC79" s="384">
        <f t="shared" ca="1" si="8"/>
        <v>0.83682870060000003</v>
      </c>
      <c r="AD79" s="398" t="str">
        <f>IF(M79="","",VLOOKUP(M79,'G-6 Hedgerow Data'!$B$3:$AG$15,31,FALSE))</f>
        <v>Low</v>
      </c>
      <c r="AE79" s="370" t="str">
        <f t="shared" ca="1" si="13"/>
        <v>Standard difficulty applied</v>
      </c>
      <c r="AF79" s="370" t="str">
        <f t="shared" ca="1" si="14"/>
        <v>Low</v>
      </c>
      <c r="AG79" s="386">
        <f ca="1">IFERROR(IF(O79="","",VLOOKUP(AD79,'G-3 Multipliers'!$P$3:$Q$6,2,FALSE)),"")</f>
        <v>1</v>
      </c>
      <c r="AH79" s="376">
        <f t="shared" ca="1" si="9"/>
        <v>1.3798465946058001</v>
      </c>
      <c r="AI79" s="188"/>
      <c r="AJ79" s="118"/>
      <c r="AK79" s="120"/>
      <c r="AT79" s="30" t="str">
        <f>IFERROR(INDEX('G-6 Hedgerow Data'!$BJ$3:$BJ$15,MATCH(M79,'G-6 Hedgerow Data'!$B$3:$B$15,0)),"")</f>
        <v>Hedgecond1</v>
      </c>
    </row>
    <row r="80" spans="2:46" ht="28.5" x14ac:dyDescent="0.2">
      <c r="B80" s="392">
        <f>'B-1 On-Site Hedge Baseline'!AK78</f>
        <v>202</v>
      </c>
      <c r="C80" s="382" t="str">
        <f ca="1">IF(B80="","",IF(ISNA(VLOOKUP($B80,'B-1 On-Site Hedge Baseline'!$B$1:$L$257,3,FALSE)),"",(VLOOKUP($B80,'B-1 On-Site Hedge Baseline'!$B$1:$L$257,3,FALSE))))</f>
        <v>Native hedgerow</v>
      </c>
      <c r="D80" s="382">
        <f ca="1">IF(B80="","",IF(ISNA(VLOOKUP($B80,'B-1 On-Site Hedge Baseline'!$B$1:$L$257,4,FALSE)),"",(VLOOKUP($B80,'B-1 On-Site Hedge Baseline'!$B$1:$L$257,4,FALSE))))</f>
        <v>0.11840000000000001</v>
      </c>
      <c r="E80" s="382" t="str">
        <f ca="1">IF(B80="","",IF(ISNA(VLOOKUP($B80,'B-1 On-Site Hedge Baseline'!$B$1:$L$257,5,FALSE)),"",(VLOOKUP($B80,'B-1 On-Site Hedge Baseline'!$B$1:$L$257,5,FALSE))))</f>
        <v>Low</v>
      </c>
      <c r="F80" s="382">
        <f ca="1">IF(B80="","",IF(ISNA(VLOOKUP($B80,'B-1 On-Site Hedge Baseline'!$B$1:$L$257,6,FALSE)),"",(VLOOKUP($B80,'B-1 On-Site Hedge Baseline'!$B$1:$L$257,6,FALSE))))</f>
        <v>2</v>
      </c>
      <c r="G80" s="382" t="str">
        <f ca="1">IF(B80="","",IF(ISNA(VLOOKUP($B80,'B-1 On-Site Hedge Baseline'!$B$1:$L$257,7,FALSE)),"",(VLOOKUP($B80,'B-1 On-Site Hedge Baseline'!$B$1:$L$257,7,FALSE))))</f>
        <v>Poor</v>
      </c>
      <c r="H80" s="382">
        <f ca="1">IF(B80="","",IF(ISNA(VLOOKUP($B80,'B-1 On-Site Hedge Baseline'!$B$1:$L$257,8,FALSE)),"",(VLOOKUP($B80,'B-1 On-Site Hedge Baseline'!$B$1:$L$257,8,FALSE))))</f>
        <v>1</v>
      </c>
      <c r="I80" s="382" t="str">
        <f ca="1">IF(B80="","",IF(ISNA(VLOOKUP($B80,'B-1 On-Site Hedge Baseline'!$B$1:$L$257,10,FALSE)),"",(VLOOKUP($B80,'B-1 On-Site Hedge Baseline'!$B$1:$L$257,10,FALSE))))</f>
        <v>Low Strategic Significance</v>
      </c>
      <c r="J80" s="382">
        <f ca="1">IF(B80="","",IF(ISNA(VLOOKUP($B80,'B-1 On-Site Hedge Baseline'!$B$1:$L$257,11,FALSE)),"",(VLOOKUP($B80,'B-1 On-Site Hedge Baseline'!$B$1:$L$257,11,FALSE))))</f>
        <v>1</v>
      </c>
      <c r="K80" s="382">
        <f ca="1">IF(B80="","",IF(ISNA(VLOOKUP($B80,'B-1 On-Site Hedge Baseline'!$B$1:$U$257,13,FALSE)),"",(VLOOKUP($B80,'B-1 On-Site Hedge Baseline'!$B$1:$U$257,13,FALSE))))</f>
        <v>0.23680000000000001</v>
      </c>
      <c r="L80" s="386" t="str">
        <f ca="1">IF(B80="","",IF(ISNA(VLOOKUP($B80,'B-1 On-Site Hedge Baseline'!$B$1:$U$257,12,FALSE)),"",(VLOOKUP($B80,'B-1 On-Site Hedge Baseline'!$B$1:$U$257,12,FALSE))))</f>
        <v>Same distinctiveness band or better</v>
      </c>
      <c r="M80" s="315" t="s">
        <v>171</v>
      </c>
      <c r="N80" s="362" t="str">
        <f ca="1">IFERROR(IF(B80="","",INDEX('G-6 Hedgerow Data'!$AN$3:$AZ$15,MATCH(C80,'G-6 Hedgerow Data'!$AM$3:$AM$15,0),MATCH(M80,'G-6 Hedgerow Data'!$AN$2:$AZ$2,0))),"")</f>
        <v>Low - Medium</v>
      </c>
      <c r="O80" s="363" t="str">
        <f t="shared" ca="1" si="10"/>
        <v>Lower Distinctiveness Habitat - Good</v>
      </c>
      <c r="P80" s="417">
        <f>IF(B80="","",VLOOKUP(B80,'B-1 On-Site Hedge Baseline'!$B$10:T325,16,FALSE))</f>
        <v>9.3899999999999997E-2</v>
      </c>
      <c r="Q80" s="362" t="str">
        <f>IF(M80="","",VLOOKUP(M80,'G-6 Hedgerow Data'!$B$2:$AG$15,2,FALSE))</f>
        <v>Medium</v>
      </c>
      <c r="R80" s="363">
        <f>IF(M80="","",VLOOKUP(M80,'G-6 Hedgerow Data'!$B$2:$AG$15,3,FALSE))</f>
        <v>4</v>
      </c>
      <c r="S80" s="125" t="s">
        <v>68</v>
      </c>
      <c r="T80" s="401">
        <f>IFERROR(VLOOKUP(S80,'G-1 All Habitats'!$Z$2:$AA$9,2,FALSE),"")</f>
        <v>3</v>
      </c>
      <c r="U80" s="122" t="s">
        <v>1037</v>
      </c>
      <c r="V80" s="382" t="str">
        <f>IF(U80="","",IF(VLOOKUP(U80,'G-3 Multipliers'!$L$3:$N$6,2,FALSE)=0,"Spatial Data Missing ⚠",VLOOKUP(U80,'G-3 Multipliers'!$L$3:$N$6,2,FALSE)))</f>
        <v>Low Strategic Significance</v>
      </c>
      <c r="W80" s="386">
        <f>IF(U80="","",IF(VLOOKUP(U80,'G-3 Multipliers'!$L$3:$N$6,3,FALSE)=0,"Spatial Data Missing ⚠",VLOOKUP(U80,'G-3 Multipliers'!$L$3:$N$6,3,FALSE)))</f>
        <v>1</v>
      </c>
      <c r="X80" s="362">
        <f ca="1">IFERROR(IF(OR(LEFT(O80,5)="Error",LEFT(N80,5)="Error",T80="Error"),"Check Data ⚠",IF(F80&lt;R80,INDEX('G-6 Hedgerow Data'!$S$3:$AE$14,MATCH(C80,'G-6 Hedgerow Data'!$B$3:$B$14,0),MATCH(M80,'G-6 Hedgerow Data'!$S$2:$AE$2,0)),INDEX('G-6 Hedgerow Data'!$K$3:$Q$14,MATCH(M80,'G-6 Hedgerow Data'!$B$3:$B$14,0),MATCH(O80,'G-6 Hedgerow Data'!$K$2:$Q$2,0)))),"")</f>
        <v>5</v>
      </c>
      <c r="Y80" s="159"/>
      <c r="Z80" s="159"/>
      <c r="AA80" s="370" t="str">
        <f t="shared" ca="1" si="11"/>
        <v>Standard time to target condition applied</v>
      </c>
      <c r="AB80" s="383">
        <f t="shared" ca="1" si="12"/>
        <v>5</v>
      </c>
      <c r="AC80" s="384">
        <f t="shared" ca="1" si="8"/>
        <v>0.83682870060000003</v>
      </c>
      <c r="AD80" s="398" t="str">
        <f>IF(M80="","",VLOOKUP(M80,'G-6 Hedgerow Data'!$B$3:$AG$15,31,FALSE))</f>
        <v>Low</v>
      </c>
      <c r="AE80" s="370" t="str">
        <f t="shared" ca="1" si="13"/>
        <v>Standard difficulty applied</v>
      </c>
      <c r="AF80" s="370" t="str">
        <f t="shared" ca="1" si="14"/>
        <v>Low</v>
      </c>
      <c r="AG80" s="386">
        <f ca="1">IFERROR(IF(O80="","",VLOOKUP(AD80,'G-3 Multipliers'!$P$3:$Q$6,2,FALSE)),"")</f>
        <v>1</v>
      </c>
      <c r="AH80" s="376">
        <f t="shared" ca="1" si="9"/>
        <v>0.97358214986340008</v>
      </c>
      <c r="AI80" s="188"/>
      <c r="AJ80" s="118"/>
      <c r="AK80" s="120"/>
      <c r="AT80" s="30" t="str">
        <f>IFERROR(INDEX('G-6 Hedgerow Data'!$BJ$3:$BJ$15,MATCH(M80,'G-6 Hedgerow Data'!$B$3:$B$15,0)),"")</f>
        <v>Hedgecond1</v>
      </c>
    </row>
    <row r="81" spans="2:46" ht="28.5" x14ac:dyDescent="0.2">
      <c r="B81" s="392">
        <f>'B-1 On-Site Hedge Baseline'!AK79</f>
        <v>205</v>
      </c>
      <c r="C81" s="382" t="str">
        <f ca="1">IF(B81="","",IF(ISNA(VLOOKUP($B81,'B-1 On-Site Hedge Baseline'!$B$1:$L$257,3,FALSE)),"",(VLOOKUP($B81,'B-1 On-Site Hedge Baseline'!$B$1:$L$257,3,FALSE))))</f>
        <v>Native hedgerow</v>
      </c>
      <c r="D81" s="382">
        <f ca="1">IF(B81="","",IF(ISNA(VLOOKUP($B81,'B-1 On-Site Hedge Baseline'!$B$1:$L$257,4,FALSE)),"",(VLOOKUP($B81,'B-1 On-Site Hedge Baseline'!$B$1:$L$257,4,FALSE))))</f>
        <v>0.1066</v>
      </c>
      <c r="E81" s="382" t="str">
        <f ca="1">IF(B81="","",IF(ISNA(VLOOKUP($B81,'B-1 On-Site Hedge Baseline'!$B$1:$L$257,5,FALSE)),"",(VLOOKUP($B81,'B-1 On-Site Hedge Baseline'!$B$1:$L$257,5,FALSE))))</f>
        <v>Low</v>
      </c>
      <c r="F81" s="382">
        <f ca="1">IF(B81="","",IF(ISNA(VLOOKUP($B81,'B-1 On-Site Hedge Baseline'!$B$1:$L$257,6,FALSE)),"",(VLOOKUP($B81,'B-1 On-Site Hedge Baseline'!$B$1:$L$257,6,FALSE))))</f>
        <v>2</v>
      </c>
      <c r="G81" s="382" t="str">
        <f ca="1">IF(B81="","",IF(ISNA(VLOOKUP($B81,'B-1 On-Site Hedge Baseline'!$B$1:$L$257,7,FALSE)),"",(VLOOKUP($B81,'B-1 On-Site Hedge Baseline'!$B$1:$L$257,7,FALSE))))</f>
        <v>Moderate</v>
      </c>
      <c r="H81" s="382">
        <f ca="1">IF(B81="","",IF(ISNA(VLOOKUP($B81,'B-1 On-Site Hedge Baseline'!$B$1:$L$257,8,FALSE)),"",(VLOOKUP($B81,'B-1 On-Site Hedge Baseline'!$B$1:$L$257,8,FALSE))))</f>
        <v>2</v>
      </c>
      <c r="I81" s="382" t="str">
        <f ca="1">IF(B81="","",IF(ISNA(VLOOKUP($B81,'B-1 On-Site Hedge Baseline'!$B$1:$L$257,10,FALSE)),"",(VLOOKUP($B81,'B-1 On-Site Hedge Baseline'!$B$1:$L$257,10,FALSE))))</f>
        <v>Low Strategic Significance</v>
      </c>
      <c r="J81" s="382">
        <f ca="1">IF(B81="","",IF(ISNA(VLOOKUP($B81,'B-1 On-Site Hedge Baseline'!$B$1:$L$257,11,FALSE)),"",(VLOOKUP($B81,'B-1 On-Site Hedge Baseline'!$B$1:$L$257,11,FALSE))))</f>
        <v>1</v>
      </c>
      <c r="K81" s="382">
        <f ca="1">IF(B81="","",IF(ISNA(VLOOKUP($B81,'B-1 On-Site Hedge Baseline'!$B$1:$U$257,13,FALSE)),"",(VLOOKUP($B81,'B-1 On-Site Hedge Baseline'!$B$1:$U$257,13,FALSE))))</f>
        <v>0.4264</v>
      </c>
      <c r="L81" s="386" t="str">
        <f ca="1">IF(B81="","",IF(ISNA(VLOOKUP($B81,'B-1 On-Site Hedge Baseline'!$B$1:$U$257,12,FALSE)),"",(VLOOKUP($B81,'B-1 On-Site Hedge Baseline'!$B$1:$U$257,12,FALSE))))</f>
        <v>Same distinctiveness band or better</v>
      </c>
      <c r="M81" s="315" t="s">
        <v>171</v>
      </c>
      <c r="N81" s="362" t="str">
        <f ca="1">IFERROR(IF(B81="","",INDEX('G-6 Hedgerow Data'!$AN$3:$AZ$15,MATCH(C81,'G-6 Hedgerow Data'!$AM$3:$AM$15,0),MATCH(M81,'G-6 Hedgerow Data'!$AN$2:$AZ$2,0))),"")</f>
        <v>Low - Medium</v>
      </c>
      <c r="O81" s="363" t="str">
        <f t="shared" ca="1" si="10"/>
        <v>Lower Distinctiveness Habitat - Good</v>
      </c>
      <c r="P81" s="417">
        <f>IF(B81="","",VLOOKUP(B81,'B-1 On-Site Hedge Baseline'!$B$10:T326,16,FALSE))</f>
        <v>9.1200000000000003E-2</v>
      </c>
      <c r="Q81" s="362" t="str">
        <f>IF(M81="","",VLOOKUP(M81,'G-6 Hedgerow Data'!$B$2:$AG$15,2,FALSE))</f>
        <v>Medium</v>
      </c>
      <c r="R81" s="363">
        <f>IF(M81="","",VLOOKUP(M81,'G-6 Hedgerow Data'!$B$2:$AG$15,3,FALSE))</f>
        <v>4</v>
      </c>
      <c r="S81" s="125" t="s">
        <v>68</v>
      </c>
      <c r="T81" s="401">
        <f>IFERROR(VLOOKUP(S81,'G-1 All Habitats'!$Z$2:$AA$9,2,FALSE),"")</f>
        <v>3</v>
      </c>
      <c r="U81" s="122" t="s">
        <v>1037</v>
      </c>
      <c r="V81" s="382" t="str">
        <f>IF(U81="","",IF(VLOOKUP(U81,'G-3 Multipliers'!$L$3:$N$6,2,FALSE)=0,"Spatial Data Missing ⚠",VLOOKUP(U81,'G-3 Multipliers'!$L$3:$N$6,2,FALSE)))</f>
        <v>Low Strategic Significance</v>
      </c>
      <c r="W81" s="386">
        <f>IF(U81="","",IF(VLOOKUP(U81,'G-3 Multipliers'!$L$3:$N$6,3,FALSE)=0,"Spatial Data Missing ⚠",VLOOKUP(U81,'G-3 Multipliers'!$L$3:$N$6,3,FALSE)))</f>
        <v>1</v>
      </c>
      <c r="X81" s="362">
        <f ca="1">IFERROR(IF(OR(LEFT(O81,5)="Error",LEFT(N81,5)="Error",T81="Error"),"Check Data ⚠",IF(F81&lt;R81,INDEX('G-6 Hedgerow Data'!$S$3:$AE$14,MATCH(C81,'G-6 Hedgerow Data'!$B$3:$B$14,0),MATCH(M81,'G-6 Hedgerow Data'!$S$2:$AE$2,0)),INDEX('G-6 Hedgerow Data'!$K$3:$Q$14,MATCH(M81,'G-6 Hedgerow Data'!$B$3:$B$14,0),MATCH(O81,'G-6 Hedgerow Data'!$K$2:$Q$2,0)))),"")</f>
        <v>5</v>
      </c>
      <c r="Y81" s="159"/>
      <c r="Z81" s="159"/>
      <c r="AA81" s="370" t="str">
        <f t="shared" ca="1" si="11"/>
        <v>Standard time to target condition applied</v>
      </c>
      <c r="AB81" s="383">
        <f t="shared" ca="1" si="12"/>
        <v>5</v>
      </c>
      <c r="AC81" s="384">
        <f t="shared" ca="1" si="8"/>
        <v>0.83682870060000003</v>
      </c>
      <c r="AD81" s="398" t="str">
        <f>IF(M81="","",VLOOKUP(M81,'G-6 Hedgerow Data'!$B$3:$AG$15,31,FALSE))</f>
        <v>Low</v>
      </c>
      <c r="AE81" s="370" t="str">
        <f t="shared" ca="1" si="13"/>
        <v>Standard difficulty applied</v>
      </c>
      <c r="AF81" s="370" t="str">
        <f t="shared" ca="1" si="14"/>
        <v>Low</v>
      </c>
      <c r="AG81" s="386">
        <f ca="1">IFERROR(IF(O81="","",VLOOKUP(AD81,'G-3 Multipliers'!$P$3:$Q$6,2,FALSE)),"")</f>
        <v>1</v>
      </c>
      <c r="AH81" s="376">
        <f t="shared" ca="1" si="9"/>
        <v>0.97535021995776006</v>
      </c>
      <c r="AI81" s="188"/>
      <c r="AJ81" s="118"/>
      <c r="AK81" s="120"/>
      <c r="AT81" s="30" t="str">
        <f>IFERROR(INDEX('G-6 Hedgerow Data'!$BJ$3:$BJ$15,MATCH(M81,'G-6 Hedgerow Data'!$B$3:$B$15,0)),"")</f>
        <v>Hedgecond1</v>
      </c>
    </row>
    <row r="82" spans="2:46" ht="28.5" x14ac:dyDescent="0.2">
      <c r="B82" s="392">
        <f>'B-1 On-Site Hedge Baseline'!AK80</f>
        <v>207</v>
      </c>
      <c r="C82" s="382" t="str">
        <f ca="1">IF(B82="","",IF(ISNA(VLOOKUP($B82,'B-1 On-Site Hedge Baseline'!$B$1:$L$257,3,FALSE)),"",(VLOOKUP($B82,'B-1 On-Site Hedge Baseline'!$B$1:$L$257,3,FALSE))))</f>
        <v>Native hedgerow with trees</v>
      </c>
      <c r="D82" s="382">
        <f ca="1">IF(B82="","",IF(ISNA(VLOOKUP($B82,'B-1 On-Site Hedge Baseline'!$B$1:$L$257,4,FALSE)),"",(VLOOKUP($B82,'B-1 On-Site Hedge Baseline'!$B$1:$L$257,4,FALSE))))</f>
        <v>0.18410000000000001</v>
      </c>
      <c r="E82" s="382" t="str">
        <f ca="1">IF(B82="","",IF(ISNA(VLOOKUP($B82,'B-1 On-Site Hedge Baseline'!$B$1:$L$257,5,FALSE)),"",(VLOOKUP($B82,'B-1 On-Site Hedge Baseline'!$B$1:$L$257,5,FALSE))))</f>
        <v>Medium</v>
      </c>
      <c r="F82" s="382">
        <f ca="1">IF(B82="","",IF(ISNA(VLOOKUP($B82,'B-1 On-Site Hedge Baseline'!$B$1:$L$257,6,FALSE)),"",(VLOOKUP($B82,'B-1 On-Site Hedge Baseline'!$B$1:$L$257,6,FALSE))))</f>
        <v>4</v>
      </c>
      <c r="G82" s="382" t="str">
        <f ca="1">IF(B82="","",IF(ISNA(VLOOKUP($B82,'B-1 On-Site Hedge Baseline'!$B$1:$L$257,7,FALSE)),"",(VLOOKUP($B82,'B-1 On-Site Hedge Baseline'!$B$1:$L$257,7,FALSE))))</f>
        <v>Moderate</v>
      </c>
      <c r="H82" s="382">
        <f ca="1">IF(B82="","",IF(ISNA(VLOOKUP($B82,'B-1 On-Site Hedge Baseline'!$B$1:$L$257,8,FALSE)),"",(VLOOKUP($B82,'B-1 On-Site Hedge Baseline'!$B$1:$L$257,8,FALSE))))</f>
        <v>2</v>
      </c>
      <c r="I82" s="382" t="str">
        <f ca="1">IF(B82="","",IF(ISNA(VLOOKUP($B82,'B-1 On-Site Hedge Baseline'!$B$1:$L$257,10,FALSE)),"",(VLOOKUP($B82,'B-1 On-Site Hedge Baseline'!$B$1:$L$257,10,FALSE))))</f>
        <v>Low Strategic Significance</v>
      </c>
      <c r="J82" s="382">
        <f ca="1">IF(B82="","",IF(ISNA(VLOOKUP($B82,'B-1 On-Site Hedge Baseline'!$B$1:$L$257,11,FALSE)),"",(VLOOKUP($B82,'B-1 On-Site Hedge Baseline'!$B$1:$L$257,11,FALSE))))</f>
        <v>1</v>
      </c>
      <c r="K82" s="382">
        <f ca="1">IF(B82="","",IF(ISNA(VLOOKUP($B82,'B-1 On-Site Hedge Baseline'!$B$1:$U$257,13,FALSE)),"",(VLOOKUP($B82,'B-1 On-Site Hedge Baseline'!$B$1:$U$257,13,FALSE))))</f>
        <v>1.4728000000000001</v>
      </c>
      <c r="L82" s="386" t="str">
        <f ca="1">IF(B82="","",IF(ISNA(VLOOKUP($B82,'B-1 On-Site Hedge Baseline'!$B$1:$U$257,12,FALSE)),"",(VLOOKUP($B82,'B-1 On-Site Hedge Baseline'!$B$1:$U$257,12,FALSE))))</f>
        <v>Same distinctiveness band or better</v>
      </c>
      <c r="M82" s="315" t="s">
        <v>168</v>
      </c>
      <c r="N82" s="362" t="str">
        <f ca="1">IFERROR(IF(B82="","",INDEX('G-6 Hedgerow Data'!$AN$3:$AZ$15,MATCH(C82,'G-6 Hedgerow Data'!$AM$3:$AM$15,0),MATCH(M82,'G-6 Hedgerow Data'!$AN$2:$AZ$2,0))),"")</f>
        <v>Medium - High</v>
      </c>
      <c r="O82" s="363" t="str">
        <f t="shared" ca="1" si="10"/>
        <v>Lower Distinctiveness Habitat - Good</v>
      </c>
      <c r="P82" s="417">
        <f>IF(B82="","",VLOOKUP(B82,'B-1 On-Site Hedge Baseline'!$B$10:T327,16,FALSE))</f>
        <v>0.1633</v>
      </c>
      <c r="Q82" s="362" t="str">
        <f>IF(M82="","",VLOOKUP(M82,'G-6 Hedgerow Data'!$B$2:$AG$15,2,FALSE))</f>
        <v>High</v>
      </c>
      <c r="R82" s="363">
        <f>IF(M82="","",VLOOKUP(M82,'G-6 Hedgerow Data'!$B$2:$AG$15,3,FALSE))</f>
        <v>6</v>
      </c>
      <c r="S82" s="125" t="s">
        <v>68</v>
      </c>
      <c r="T82" s="401">
        <f>IFERROR(VLOOKUP(S82,'G-1 All Habitats'!$Z$2:$AA$9,2,FALSE),"")</f>
        <v>3</v>
      </c>
      <c r="U82" s="122" t="s">
        <v>1037</v>
      </c>
      <c r="V82" s="382" t="str">
        <f>IF(U82="","",IF(VLOOKUP(U82,'G-3 Multipliers'!$L$3:$N$6,2,FALSE)=0,"Spatial Data Missing ⚠",VLOOKUP(U82,'G-3 Multipliers'!$L$3:$N$6,2,FALSE)))</f>
        <v>Low Strategic Significance</v>
      </c>
      <c r="W82" s="386">
        <f>IF(U82="","",IF(VLOOKUP(U82,'G-3 Multipliers'!$L$3:$N$6,3,FALSE)=0,"Spatial Data Missing ⚠",VLOOKUP(U82,'G-3 Multipliers'!$L$3:$N$6,3,FALSE)))</f>
        <v>1</v>
      </c>
      <c r="X82" s="362">
        <f ca="1">IFERROR(IF(OR(LEFT(O82,5)="Error",LEFT(N82,5)="Error",T82="Error"),"Check Data ⚠",IF(F82&lt;R82,INDEX('G-6 Hedgerow Data'!$S$3:$AE$14,MATCH(C82,'G-6 Hedgerow Data'!$B$3:$B$14,0),MATCH(M82,'G-6 Hedgerow Data'!$S$2:$AE$2,0)),INDEX('G-6 Hedgerow Data'!$K$3:$Q$14,MATCH(M82,'G-6 Hedgerow Data'!$B$3:$B$14,0),MATCH(O82,'G-6 Hedgerow Data'!$K$2:$Q$2,0)))),"")</f>
        <v>5</v>
      </c>
      <c r="Y82" s="159"/>
      <c r="Z82" s="159"/>
      <c r="AA82" s="370" t="str">
        <f t="shared" ca="1" si="11"/>
        <v>Standard time to target condition applied</v>
      </c>
      <c r="AB82" s="383">
        <f t="shared" ca="1" si="12"/>
        <v>5</v>
      </c>
      <c r="AC82" s="384">
        <f t="shared" ca="1" si="8"/>
        <v>0.83682870060000003</v>
      </c>
      <c r="AD82" s="398" t="str">
        <f>IF(M82="","",VLOOKUP(M82,'G-6 Hedgerow Data'!$B$3:$AG$15,31,FALSE))</f>
        <v>Low</v>
      </c>
      <c r="AE82" s="370" t="str">
        <f t="shared" ca="1" si="13"/>
        <v>Standard difficulty applied</v>
      </c>
      <c r="AF82" s="370" t="str">
        <f t="shared" ca="1" si="14"/>
        <v>Low</v>
      </c>
      <c r="AG82" s="386">
        <f ca="1">IFERROR(IF(O82="","",VLOOKUP(AD82,'G-3 Multipliers'!$P$3:$Q$6,2,FALSE)),"")</f>
        <v>1</v>
      </c>
      <c r="AH82" s="376">
        <f t="shared" ca="1" si="9"/>
        <v>2.6729412680797999</v>
      </c>
      <c r="AI82" s="188"/>
      <c r="AJ82" s="118"/>
      <c r="AK82" s="120"/>
      <c r="AT82" s="30" t="str">
        <f>IFERROR(INDEX('G-6 Hedgerow Data'!$BJ$3:$BJ$15,MATCH(M82,'G-6 Hedgerow Data'!$B$3:$B$15,0)),"")</f>
        <v>Hedgecond1</v>
      </c>
    </row>
    <row r="83" spans="2:46" ht="28.5" x14ac:dyDescent="0.2">
      <c r="B83" s="392">
        <f>'B-1 On-Site Hedge Baseline'!AK81</f>
        <v>213</v>
      </c>
      <c r="C83" s="382" t="str">
        <f ca="1">IF(B83="","",IF(ISNA(VLOOKUP($B83,'B-1 On-Site Hedge Baseline'!$B$1:$L$257,3,FALSE)),"",(VLOOKUP($B83,'B-1 On-Site Hedge Baseline'!$B$1:$L$257,3,FALSE))))</f>
        <v>Species-rich native hedgerow</v>
      </c>
      <c r="D83" s="382">
        <f ca="1">IF(B83="","",IF(ISNA(VLOOKUP($B83,'B-1 On-Site Hedge Baseline'!$B$1:$L$257,4,FALSE)),"",(VLOOKUP($B83,'B-1 On-Site Hedge Baseline'!$B$1:$L$257,4,FALSE))))</f>
        <v>0.26069999999999999</v>
      </c>
      <c r="E83" s="382" t="str">
        <f ca="1">IF(B83="","",IF(ISNA(VLOOKUP($B83,'B-1 On-Site Hedge Baseline'!$B$1:$L$257,5,FALSE)),"",(VLOOKUP($B83,'B-1 On-Site Hedge Baseline'!$B$1:$L$257,5,FALSE))))</f>
        <v>Medium</v>
      </c>
      <c r="F83" s="382">
        <f ca="1">IF(B83="","",IF(ISNA(VLOOKUP($B83,'B-1 On-Site Hedge Baseline'!$B$1:$L$257,6,FALSE)),"",(VLOOKUP($B83,'B-1 On-Site Hedge Baseline'!$B$1:$L$257,6,FALSE))))</f>
        <v>4</v>
      </c>
      <c r="G83" s="382" t="str">
        <f ca="1">IF(B83="","",IF(ISNA(VLOOKUP($B83,'B-1 On-Site Hedge Baseline'!$B$1:$L$257,7,FALSE)),"",(VLOOKUP($B83,'B-1 On-Site Hedge Baseline'!$B$1:$L$257,7,FALSE))))</f>
        <v>Good</v>
      </c>
      <c r="H83" s="382">
        <f ca="1">IF(B83="","",IF(ISNA(VLOOKUP($B83,'B-1 On-Site Hedge Baseline'!$B$1:$L$257,8,FALSE)),"",(VLOOKUP($B83,'B-1 On-Site Hedge Baseline'!$B$1:$L$257,8,FALSE))))</f>
        <v>3</v>
      </c>
      <c r="I83" s="382" t="str">
        <f ca="1">IF(B83="","",IF(ISNA(VLOOKUP($B83,'B-1 On-Site Hedge Baseline'!$B$1:$L$257,10,FALSE)),"",(VLOOKUP($B83,'B-1 On-Site Hedge Baseline'!$B$1:$L$257,10,FALSE))))</f>
        <v xml:space="preserve">High strategic significance </v>
      </c>
      <c r="J83" s="382">
        <f ca="1">IF(B83="","",IF(ISNA(VLOOKUP($B83,'B-1 On-Site Hedge Baseline'!$B$1:$L$257,11,FALSE)),"",(VLOOKUP($B83,'B-1 On-Site Hedge Baseline'!$B$1:$L$257,11,FALSE))))</f>
        <v>1.1499999999999999</v>
      </c>
      <c r="K83" s="382">
        <f ca="1">IF(B83="","",IF(ISNA(VLOOKUP($B83,'B-1 On-Site Hedge Baseline'!$B$1:$U$257,13,FALSE)),"",(VLOOKUP($B83,'B-1 On-Site Hedge Baseline'!$B$1:$U$257,13,FALSE))))</f>
        <v>3.5976599999999999</v>
      </c>
      <c r="L83" s="386" t="str">
        <f ca="1">IF(B83="","",IF(ISNA(VLOOKUP($B83,'B-1 On-Site Hedge Baseline'!$B$1:$U$257,12,FALSE)),"",(VLOOKUP($B83,'B-1 On-Site Hedge Baseline'!$B$1:$U$257,12,FALSE))))</f>
        <v>Same distinctiveness band or better</v>
      </c>
      <c r="M83" s="315" t="s">
        <v>168</v>
      </c>
      <c r="N83" s="362" t="str">
        <f ca="1">IFERROR(IF(B83="","",INDEX('G-6 Hedgerow Data'!$AN$3:$AZ$15,MATCH(C83,'G-6 Hedgerow Data'!$AM$3:$AM$15,0),MATCH(M83,'G-6 Hedgerow Data'!$AN$2:$AZ$2,0))),"")</f>
        <v>Medium - High</v>
      </c>
      <c r="O83" s="363" t="str">
        <f t="shared" ca="1" si="10"/>
        <v>Lower Distinctiveness Habitat - Good</v>
      </c>
      <c r="P83" s="417">
        <f>IF(B83="","",VLOOKUP(B83,'B-1 On-Site Hedge Baseline'!$B$10:T328,16,FALSE))</f>
        <v>0.26069999999999999</v>
      </c>
      <c r="Q83" s="362" t="str">
        <f>IF(M83="","",VLOOKUP(M83,'G-6 Hedgerow Data'!$B$2:$AG$15,2,FALSE))</f>
        <v>High</v>
      </c>
      <c r="R83" s="363">
        <f>IF(M83="","",VLOOKUP(M83,'G-6 Hedgerow Data'!$B$2:$AG$15,3,FALSE))</f>
        <v>6</v>
      </c>
      <c r="S83" s="125" t="s">
        <v>68</v>
      </c>
      <c r="T83" s="401">
        <f>IFERROR(VLOOKUP(S83,'G-1 All Habitats'!$Z$2:$AA$9,2,FALSE),"")</f>
        <v>3</v>
      </c>
      <c r="U83" s="122" t="s">
        <v>1029</v>
      </c>
      <c r="V83" s="382" t="str">
        <f>IF(U83="","",IF(VLOOKUP(U83,'G-3 Multipliers'!$L$3:$N$6,2,FALSE)=0,"Spatial Data Missing ⚠",VLOOKUP(U83,'G-3 Multipliers'!$L$3:$N$6,2,FALSE)))</f>
        <v xml:space="preserve">High strategic significance </v>
      </c>
      <c r="W83" s="386">
        <f>IF(U83="","",IF(VLOOKUP(U83,'G-3 Multipliers'!$L$3:$N$6,3,FALSE)=0,"Spatial Data Missing ⚠",VLOOKUP(U83,'G-3 Multipliers'!$L$3:$N$6,3,FALSE)))</f>
        <v>1.1499999999999999</v>
      </c>
      <c r="X83" s="362">
        <f ca="1">IFERROR(IF(OR(LEFT(O83,5)="Error",LEFT(N83,5)="Error",T83="Error"),"Check Data ⚠",IF(F83&lt;R83,INDEX('G-6 Hedgerow Data'!$S$3:$AE$14,MATCH(C83,'G-6 Hedgerow Data'!$B$3:$B$14,0),MATCH(M83,'G-6 Hedgerow Data'!$S$2:$AE$2,0)),INDEX('G-6 Hedgerow Data'!$K$3:$Q$14,MATCH(M83,'G-6 Hedgerow Data'!$B$3:$B$14,0),MATCH(O83,'G-6 Hedgerow Data'!$K$2:$Q$2,0)))),"")</f>
        <v>10</v>
      </c>
      <c r="Y83" s="159"/>
      <c r="Z83" s="159"/>
      <c r="AA83" s="370" t="str">
        <f t="shared" ca="1" si="11"/>
        <v>Standard time to target condition applied</v>
      </c>
      <c r="AB83" s="383">
        <f t="shared" ca="1" si="12"/>
        <v>10</v>
      </c>
      <c r="AC83" s="384">
        <f t="shared" ca="1" si="8"/>
        <v>0.70028227419999989</v>
      </c>
      <c r="AD83" s="398" t="str">
        <f>IF(M83="","",VLOOKUP(M83,'G-6 Hedgerow Data'!$B$3:$AG$15,31,FALSE))</f>
        <v>Low</v>
      </c>
      <c r="AE83" s="370" t="str">
        <f t="shared" ca="1" si="13"/>
        <v>Standard difficulty applied</v>
      </c>
      <c r="AF83" s="370" t="str">
        <f t="shared" ca="1" si="14"/>
        <v>Low</v>
      </c>
      <c r="AG83" s="386">
        <f ca="1">IFERROR(IF(O83="","",VLOOKUP(AD83,'G-3 Multipliers'!$P$3:$Q$6,2,FALSE)),"")</f>
        <v>1</v>
      </c>
      <c r="AH83" s="376">
        <f t="shared" ca="1" si="9"/>
        <v>4.8573487632991856</v>
      </c>
      <c r="AI83" s="188"/>
      <c r="AJ83" s="118"/>
      <c r="AK83" s="120"/>
      <c r="AT83" s="30" t="str">
        <f>IFERROR(INDEX('G-6 Hedgerow Data'!$BJ$3:$BJ$15,MATCH(M83,'G-6 Hedgerow Data'!$B$3:$B$15,0)),"")</f>
        <v>Hedgecond1</v>
      </c>
    </row>
    <row r="84" spans="2:46" ht="28.5" x14ac:dyDescent="0.2">
      <c r="B84" s="392">
        <f>'B-1 On-Site Hedge Baseline'!AK82</f>
        <v>217</v>
      </c>
      <c r="C84" s="382" t="str">
        <f ca="1">IF(B84="","",IF(ISNA(VLOOKUP($B84,'B-1 On-Site Hedge Baseline'!$B$1:$L$257,3,FALSE)),"",(VLOOKUP($B84,'B-1 On-Site Hedge Baseline'!$B$1:$L$257,3,FALSE))))</f>
        <v>Native hedgerow</v>
      </c>
      <c r="D84" s="382">
        <f ca="1">IF(B84="","",IF(ISNA(VLOOKUP($B84,'B-1 On-Site Hedge Baseline'!$B$1:$L$257,4,FALSE)),"",(VLOOKUP($B84,'B-1 On-Site Hedge Baseline'!$B$1:$L$257,4,FALSE))))</f>
        <v>0.42430000000000001</v>
      </c>
      <c r="E84" s="382" t="str">
        <f ca="1">IF(B84="","",IF(ISNA(VLOOKUP($B84,'B-1 On-Site Hedge Baseline'!$B$1:$L$257,5,FALSE)),"",(VLOOKUP($B84,'B-1 On-Site Hedge Baseline'!$B$1:$L$257,5,FALSE))))</f>
        <v>Low</v>
      </c>
      <c r="F84" s="382">
        <f ca="1">IF(B84="","",IF(ISNA(VLOOKUP($B84,'B-1 On-Site Hedge Baseline'!$B$1:$L$257,6,FALSE)),"",(VLOOKUP($B84,'B-1 On-Site Hedge Baseline'!$B$1:$L$257,6,FALSE))))</f>
        <v>2</v>
      </c>
      <c r="G84" s="382" t="str">
        <f ca="1">IF(B84="","",IF(ISNA(VLOOKUP($B84,'B-1 On-Site Hedge Baseline'!$B$1:$L$257,7,FALSE)),"",(VLOOKUP($B84,'B-1 On-Site Hedge Baseline'!$B$1:$L$257,7,FALSE))))</f>
        <v>Moderate</v>
      </c>
      <c r="H84" s="382">
        <f ca="1">IF(B84="","",IF(ISNA(VLOOKUP($B84,'B-1 On-Site Hedge Baseline'!$B$1:$L$257,8,FALSE)),"",(VLOOKUP($B84,'B-1 On-Site Hedge Baseline'!$B$1:$L$257,8,FALSE))))</f>
        <v>2</v>
      </c>
      <c r="I84" s="382" t="str">
        <f ca="1">IF(B84="","",IF(ISNA(VLOOKUP($B84,'B-1 On-Site Hedge Baseline'!$B$1:$L$257,10,FALSE)),"",(VLOOKUP($B84,'B-1 On-Site Hedge Baseline'!$B$1:$L$257,10,FALSE))))</f>
        <v>Low Strategic Significance</v>
      </c>
      <c r="J84" s="382">
        <f ca="1">IF(B84="","",IF(ISNA(VLOOKUP($B84,'B-1 On-Site Hedge Baseline'!$B$1:$L$257,11,FALSE)),"",(VLOOKUP($B84,'B-1 On-Site Hedge Baseline'!$B$1:$L$257,11,FALSE))))</f>
        <v>1</v>
      </c>
      <c r="K84" s="382">
        <f ca="1">IF(B84="","",IF(ISNA(VLOOKUP($B84,'B-1 On-Site Hedge Baseline'!$B$1:$U$257,13,FALSE)),"",(VLOOKUP($B84,'B-1 On-Site Hedge Baseline'!$B$1:$U$257,13,FALSE))))</f>
        <v>1.6972</v>
      </c>
      <c r="L84" s="386" t="str">
        <f ca="1">IF(B84="","",IF(ISNA(VLOOKUP($B84,'B-1 On-Site Hedge Baseline'!$B$1:$U$257,12,FALSE)),"",(VLOOKUP($B84,'B-1 On-Site Hedge Baseline'!$B$1:$U$257,12,FALSE))))</f>
        <v>Same distinctiveness band or better</v>
      </c>
      <c r="M84" s="315" t="s">
        <v>171</v>
      </c>
      <c r="N84" s="362" t="str">
        <f ca="1">IFERROR(IF(B84="","",INDEX('G-6 Hedgerow Data'!$AN$3:$AZ$15,MATCH(C84,'G-6 Hedgerow Data'!$AM$3:$AM$15,0),MATCH(M84,'G-6 Hedgerow Data'!$AN$2:$AZ$2,0))),"")</f>
        <v>Low - Medium</v>
      </c>
      <c r="O84" s="363" t="str">
        <f t="shared" ca="1" si="10"/>
        <v>Lower Distinctiveness Habitat - Good</v>
      </c>
      <c r="P84" s="417">
        <f>IF(B84="","",VLOOKUP(B84,'B-1 On-Site Hedge Baseline'!$B$10:T329,16,FALSE))</f>
        <v>0.42430000000000001</v>
      </c>
      <c r="Q84" s="362" t="str">
        <f>IF(M84="","",VLOOKUP(M84,'G-6 Hedgerow Data'!$B$2:$AG$15,2,FALSE))</f>
        <v>Medium</v>
      </c>
      <c r="R84" s="363">
        <f>IF(M84="","",VLOOKUP(M84,'G-6 Hedgerow Data'!$B$2:$AG$15,3,FALSE))</f>
        <v>4</v>
      </c>
      <c r="S84" s="125" t="s">
        <v>68</v>
      </c>
      <c r="T84" s="401">
        <f>IFERROR(VLOOKUP(S84,'G-1 All Habitats'!$Z$2:$AA$9,2,FALSE),"")</f>
        <v>3</v>
      </c>
      <c r="U84" s="122" t="s">
        <v>1037</v>
      </c>
      <c r="V84" s="382" t="str">
        <f>IF(U84="","",IF(VLOOKUP(U84,'G-3 Multipliers'!$L$3:$N$6,2,FALSE)=0,"Spatial Data Missing ⚠",VLOOKUP(U84,'G-3 Multipliers'!$L$3:$N$6,2,FALSE)))</f>
        <v>Low Strategic Significance</v>
      </c>
      <c r="W84" s="386">
        <f>IF(U84="","",IF(VLOOKUP(U84,'G-3 Multipliers'!$L$3:$N$6,3,FALSE)=0,"Spatial Data Missing ⚠",VLOOKUP(U84,'G-3 Multipliers'!$L$3:$N$6,3,FALSE)))</f>
        <v>1</v>
      </c>
      <c r="X84" s="362">
        <f ca="1">IFERROR(IF(OR(LEFT(O84,5)="Error",LEFT(N84,5)="Error",T84="Error"),"Check Data ⚠",IF(F84&lt;R84,INDEX('G-6 Hedgerow Data'!$S$3:$AE$14,MATCH(C84,'G-6 Hedgerow Data'!$B$3:$B$14,0),MATCH(M84,'G-6 Hedgerow Data'!$S$2:$AE$2,0)),INDEX('G-6 Hedgerow Data'!$K$3:$Q$14,MATCH(M84,'G-6 Hedgerow Data'!$B$3:$B$14,0),MATCH(O84,'G-6 Hedgerow Data'!$K$2:$Q$2,0)))),"")</f>
        <v>5</v>
      </c>
      <c r="Y84" s="159"/>
      <c r="Z84" s="159"/>
      <c r="AA84" s="370" t="str">
        <f t="shared" ca="1" si="11"/>
        <v>Standard time to target condition applied</v>
      </c>
      <c r="AB84" s="383">
        <f t="shared" ca="1" si="12"/>
        <v>5</v>
      </c>
      <c r="AC84" s="384">
        <f t="shared" ca="1" si="8"/>
        <v>0.83682870060000003</v>
      </c>
      <c r="AD84" s="398" t="str">
        <f>IF(M84="","",VLOOKUP(M84,'G-6 Hedgerow Data'!$B$3:$AG$15,31,FALSE))</f>
        <v>Low</v>
      </c>
      <c r="AE84" s="370" t="str">
        <f t="shared" ca="1" si="13"/>
        <v>Standard difficulty applied</v>
      </c>
      <c r="AF84" s="370" t="str">
        <f t="shared" ca="1" si="14"/>
        <v>Low</v>
      </c>
      <c r="AG84" s="386">
        <f ca="1">IFERROR(IF(O84="","",VLOOKUP(AD84,'G-3 Multipliers'!$P$3:$Q$6,2,FALSE)),"")</f>
        <v>1</v>
      </c>
      <c r="AH84" s="376">
        <f t="shared" ca="1" si="9"/>
        <v>4.5377313413166398</v>
      </c>
      <c r="AI84" s="188"/>
      <c r="AJ84" s="118"/>
      <c r="AK84" s="120"/>
      <c r="AT84" s="30" t="str">
        <f>IFERROR(INDEX('G-6 Hedgerow Data'!$BJ$3:$BJ$15,MATCH(M84,'G-6 Hedgerow Data'!$B$3:$B$15,0)),"")</f>
        <v>Hedgecond1</v>
      </c>
    </row>
    <row r="85" spans="2:46" ht="28.5" x14ac:dyDescent="0.2">
      <c r="B85" s="392">
        <f>'B-1 On-Site Hedge Baseline'!AK83</f>
        <v>218</v>
      </c>
      <c r="C85" s="382" t="str">
        <f ca="1">IF(B85="","",IF(ISNA(VLOOKUP($B85,'B-1 On-Site Hedge Baseline'!$B$1:$L$257,3,FALSE)),"",(VLOOKUP($B85,'B-1 On-Site Hedge Baseline'!$B$1:$L$257,3,FALSE))))</f>
        <v>Native hedgerow</v>
      </c>
      <c r="D85" s="382">
        <f ca="1">IF(B85="","",IF(ISNA(VLOOKUP($B85,'B-1 On-Site Hedge Baseline'!$B$1:$L$257,4,FALSE)),"",(VLOOKUP($B85,'B-1 On-Site Hedge Baseline'!$B$1:$L$257,4,FALSE))))</f>
        <v>0.2702</v>
      </c>
      <c r="E85" s="382" t="str">
        <f ca="1">IF(B85="","",IF(ISNA(VLOOKUP($B85,'B-1 On-Site Hedge Baseline'!$B$1:$L$257,5,FALSE)),"",(VLOOKUP($B85,'B-1 On-Site Hedge Baseline'!$B$1:$L$257,5,FALSE))))</f>
        <v>Low</v>
      </c>
      <c r="F85" s="382">
        <f ca="1">IF(B85="","",IF(ISNA(VLOOKUP($B85,'B-1 On-Site Hedge Baseline'!$B$1:$L$257,6,FALSE)),"",(VLOOKUP($B85,'B-1 On-Site Hedge Baseline'!$B$1:$L$257,6,FALSE))))</f>
        <v>2</v>
      </c>
      <c r="G85" s="382" t="str">
        <f ca="1">IF(B85="","",IF(ISNA(VLOOKUP($B85,'B-1 On-Site Hedge Baseline'!$B$1:$L$257,7,FALSE)),"",(VLOOKUP($B85,'B-1 On-Site Hedge Baseline'!$B$1:$L$257,7,FALSE))))</f>
        <v>Moderate</v>
      </c>
      <c r="H85" s="382">
        <f ca="1">IF(B85="","",IF(ISNA(VLOOKUP($B85,'B-1 On-Site Hedge Baseline'!$B$1:$L$257,8,FALSE)),"",(VLOOKUP($B85,'B-1 On-Site Hedge Baseline'!$B$1:$L$257,8,FALSE))))</f>
        <v>2</v>
      </c>
      <c r="I85" s="382" t="str">
        <f ca="1">IF(B85="","",IF(ISNA(VLOOKUP($B85,'B-1 On-Site Hedge Baseline'!$B$1:$L$257,10,FALSE)),"",(VLOOKUP($B85,'B-1 On-Site Hedge Baseline'!$B$1:$L$257,10,FALSE))))</f>
        <v xml:space="preserve">High strategic significance </v>
      </c>
      <c r="J85" s="382">
        <f ca="1">IF(B85="","",IF(ISNA(VLOOKUP($B85,'B-1 On-Site Hedge Baseline'!$B$1:$L$257,11,FALSE)),"",(VLOOKUP($B85,'B-1 On-Site Hedge Baseline'!$B$1:$L$257,11,FALSE))))</f>
        <v>1.1499999999999999</v>
      </c>
      <c r="K85" s="382">
        <f ca="1">IF(B85="","",IF(ISNA(VLOOKUP($B85,'B-1 On-Site Hedge Baseline'!$B$1:$U$257,13,FALSE)),"",(VLOOKUP($B85,'B-1 On-Site Hedge Baseline'!$B$1:$U$257,13,FALSE))))</f>
        <v>1.2429199999999998</v>
      </c>
      <c r="L85" s="386" t="str">
        <f ca="1">IF(B85="","",IF(ISNA(VLOOKUP($B85,'B-1 On-Site Hedge Baseline'!$B$1:$U$257,12,FALSE)),"",(VLOOKUP($B85,'B-1 On-Site Hedge Baseline'!$B$1:$U$257,12,FALSE))))</f>
        <v>Same distinctiveness band or better</v>
      </c>
      <c r="M85" s="315" t="s">
        <v>171</v>
      </c>
      <c r="N85" s="362" t="str">
        <f ca="1">IFERROR(IF(B85="","",INDEX('G-6 Hedgerow Data'!$AN$3:$AZ$15,MATCH(C85,'G-6 Hedgerow Data'!$AM$3:$AM$15,0),MATCH(M85,'G-6 Hedgerow Data'!$AN$2:$AZ$2,0))),"")</f>
        <v>Low - Medium</v>
      </c>
      <c r="O85" s="363" t="str">
        <f t="shared" ca="1" si="10"/>
        <v>Lower Distinctiveness Habitat - Good</v>
      </c>
      <c r="P85" s="417">
        <f>IF(B85="","",VLOOKUP(B85,'B-1 On-Site Hedge Baseline'!$B$10:T330,16,FALSE))</f>
        <v>0.2702</v>
      </c>
      <c r="Q85" s="362" t="str">
        <f>IF(M85="","",VLOOKUP(M85,'G-6 Hedgerow Data'!$B$2:$AG$15,2,FALSE))</f>
        <v>Medium</v>
      </c>
      <c r="R85" s="363">
        <f>IF(M85="","",VLOOKUP(M85,'G-6 Hedgerow Data'!$B$2:$AG$15,3,FALSE))</f>
        <v>4</v>
      </c>
      <c r="S85" s="125" t="s">
        <v>68</v>
      </c>
      <c r="T85" s="401">
        <f>IFERROR(VLOOKUP(S85,'G-1 All Habitats'!$Z$2:$AA$9,2,FALSE),"")</f>
        <v>3</v>
      </c>
      <c r="U85" s="122" t="s">
        <v>1029</v>
      </c>
      <c r="V85" s="382" t="str">
        <f>IF(U85="","",IF(VLOOKUP(U85,'G-3 Multipliers'!$L$3:$N$6,2,FALSE)=0,"Spatial Data Missing ⚠",VLOOKUP(U85,'G-3 Multipliers'!$L$3:$N$6,2,FALSE)))</f>
        <v xml:space="preserve">High strategic significance </v>
      </c>
      <c r="W85" s="386">
        <f>IF(U85="","",IF(VLOOKUP(U85,'G-3 Multipliers'!$L$3:$N$6,3,FALSE)=0,"Spatial Data Missing ⚠",VLOOKUP(U85,'G-3 Multipliers'!$L$3:$N$6,3,FALSE)))</f>
        <v>1.1499999999999999</v>
      </c>
      <c r="X85" s="362">
        <f ca="1">IFERROR(IF(OR(LEFT(O85,5)="Error",LEFT(N85,5)="Error",T85="Error"),"Check Data ⚠",IF(F85&lt;R85,INDEX('G-6 Hedgerow Data'!$S$3:$AE$14,MATCH(C85,'G-6 Hedgerow Data'!$B$3:$B$14,0),MATCH(M85,'G-6 Hedgerow Data'!$S$2:$AE$2,0)),INDEX('G-6 Hedgerow Data'!$K$3:$Q$14,MATCH(M85,'G-6 Hedgerow Data'!$B$3:$B$14,0),MATCH(O85,'G-6 Hedgerow Data'!$K$2:$Q$2,0)))),"")</f>
        <v>5</v>
      </c>
      <c r="Y85" s="159"/>
      <c r="Z85" s="159"/>
      <c r="AA85" s="370" t="str">
        <f t="shared" ca="1" si="11"/>
        <v>Standard time to target condition applied</v>
      </c>
      <c r="AB85" s="383">
        <f t="shared" ca="1" si="12"/>
        <v>5</v>
      </c>
      <c r="AC85" s="384">
        <f t="shared" ca="1" si="8"/>
        <v>0.83682870060000003</v>
      </c>
      <c r="AD85" s="398" t="str">
        <f>IF(M85="","",VLOOKUP(M85,'G-6 Hedgerow Data'!$B$3:$AG$15,31,FALSE))</f>
        <v>Low</v>
      </c>
      <c r="AE85" s="370" t="str">
        <f t="shared" ca="1" si="13"/>
        <v>Standard difficulty applied</v>
      </c>
      <c r="AF85" s="370" t="str">
        <f t="shared" ca="1" si="14"/>
        <v>Low</v>
      </c>
      <c r="AG85" s="386">
        <f ca="1">IFERROR(IF(O85="","",VLOOKUP(AD85,'G-3 Multipliers'!$P$3:$Q$6,2,FALSE)),"")</f>
        <v>1</v>
      </c>
      <c r="AH85" s="376">
        <f t="shared" ca="1" si="9"/>
        <v>3.3231422570995037</v>
      </c>
      <c r="AI85" s="188"/>
      <c r="AJ85" s="118"/>
      <c r="AK85" s="120"/>
      <c r="AT85" s="30" t="str">
        <f>IFERROR(INDEX('G-6 Hedgerow Data'!$BJ$3:$BJ$15,MATCH(M85,'G-6 Hedgerow Data'!$B$3:$B$15,0)),"")</f>
        <v>Hedgecond1</v>
      </c>
    </row>
    <row r="86" spans="2:46" ht="28.5" x14ac:dyDescent="0.2">
      <c r="B86" s="392">
        <f>'B-1 On-Site Hedge Baseline'!AK84</f>
        <v>223</v>
      </c>
      <c r="C86" s="382" t="str">
        <f ca="1">IF(B86="","",IF(ISNA(VLOOKUP($B86,'B-1 On-Site Hedge Baseline'!$B$1:$L$257,3,FALSE)),"",(VLOOKUP($B86,'B-1 On-Site Hedge Baseline'!$B$1:$L$257,3,FALSE))))</f>
        <v>Native hedgerow</v>
      </c>
      <c r="D86" s="382">
        <f ca="1">IF(B86="","",IF(ISNA(VLOOKUP($B86,'B-1 On-Site Hedge Baseline'!$B$1:$L$257,4,FALSE)),"",(VLOOKUP($B86,'B-1 On-Site Hedge Baseline'!$B$1:$L$257,4,FALSE))))</f>
        <v>4.1000000000000002E-2</v>
      </c>
      <c r="E86" s="382" t="str">
        <f ca="1">IF(B86="","",IF(ISNA(VLOOKUP($B86,'B-1 On-Site Hedge Baseline'!$B$1:$L$257,5,FALSE)),"",(VLOOKUP($B86,'B-1 On-Site Hedge Baseline'!$B$1:$L$257,5,FALSE))))</f>
        <v>Low</v>
      </c>
      <c r="F86" s="382">
        <f ca="1">IF(B86="","",IF(ISNA(VLOOKUP($B86,'B-1 On-Site Hedge Baseline'!$B$1:$L$257,6,FALSE)),"",(VLOOKUP($B86,'B-1 On-Site Hedge Baseline'!$B$1:$L$257,6,FALSE))))</f>
        <v>2</v>
      </c>
      <c r="G86" s="382" t="str">
        <f ca="1">IF(B86="","",IF(ISNA(VLOOKUP($B86,'B-1 On-Site Hedge Baseline'!$B$1:$L$257,7,FALSE)),"",(VLOOKUP($B86,'B-1 On-Site Hedge Baseline'!$B$1:$L$257,7,FALSE))))</f>
        <v>Poor</v>
      </c>
      <c r="H86" s="382">
        <f ca="1">IF(B86="","",IF(ISNA(VLOOKUP($B86,'B-1 On-Site Hedge Baseline'!$B$1:$L$257,8,FALSE)),"",(VLOOKUP($B86,'B-1 On-Site Hedge Baseline'!$B$1:$L$257,8,FALSE))))</f>
        <v>1</v>
      </c>
      <c r="I86" s="382" t="str">
        <f ca="1">IF(B86="","",IF(ISNA(VLOOKUP($B86,'B-1 On-Site Hedge Baseline'!$B$1:$L$257,10,FALSE)),"",(VLOOKUP($B86,'B-1 On-Site Hedge Baseline'!$B$1:$L$257,10,FALSE))))</f>
        <v>Low Strategic Significance</v>
      </c>
      <c r="J86" s="382">
        <f ca="1">IF(B86="","",IF(ISNA(VLOOKUP($B86,'B-1 On-Site Hedge Baseline'!$B$1:$L$257,11,FALSE)),"",(VLOOKUP($B86,'B-1 On-Site Hedge Baseline'!$B$1:$L$257,11,FALSE))))</f>
        <v>1</v>
      </c>
      <c r="K86" s="382">
        <f ca="1">IF(B86="","",IF(ISNA(VLOOKUP($B86,'B-1 On-Site Hedge Baseline'!$B$1:$U$257,13,FALSE)),"",(VLOOKUP($B86,'B-1 On-Site Hedge Baseline'!$B$1:$U$257,13,FALSE))))</f>
        <v>8.2000000000000003E-2</v>
      </c>
      <c r="L86" s="386" t="str">
        <f ca="1">IF(B86="","",IF(ISNA(VLOOKUP($B86,'B-1 On-Site Hedge Baseline'!$B$1:$U$257,12,FALSE)),"",(VLOOKUP($B86,'B-1 On-Site Hedge Baseline'!$B$1:$U$257,12,FALSE))))</f>
        <v>Same distinctiveness band or better</v>
      </c>
      <c r="M86" s="315" t="s">
        <v>171</v>
      </c>
      <c r="N86" s="362" t="str">
        <f ca="1">IFERROR(IF(B86="","",INDEX('G-6 Hedgerow Data'!$AN$3:$AZ$15,MATCH(C86,'G-6 Hedgerow Data'!$AM$3:$AM$15,0),MATCH(M86,'G-6 Hedgerow Data'!$AN$2:$AZ$2,0))),"")</f>
        <v>Low - Medium</v>
      </c>
      <c r="O86" s="363" t="str">
        <f t="shared" ca="1" si="10"/>
        <v>Lower Distinctiveness Habitat - Good</v>
      </c>
      <c r="P86" s="417">
        <f>IF(B86="","",VLOOKUP(B86,'B-1 On-Site Hedge Baseline'!$B$10:T331,16,FALSE))</f>
        <v>4.1000000000000002E-2</v>
      </c>
      <c r="Q86" s="362" t="str">
        <f>IF(M86="","",VLOOKUP(M86,'G-6 Hedgerow Data'!$B$2:$AG$15,2,FALSE))</f>
        <v>Medium</v>
      </c>
      <c r="R86" s="363">
        <f>IF(M86="","",VLOOKUP(M86,'G-6 Hedgerow Data'!$B$2:$AG$15,3,FALSE))</f>
        <v>4</v>
      </c>
      <c r="S86" s="125" t="s">
        <v>68</v>
      </c>
      <c r="T86" s="401">
        <f>IFERROR(VLOOKUP(S86,'G-1 All Habitats'!$Z$2:$AA$9,2,FALSE),"")</f>
        <v>3</v>
      </c>
      <c r="U86" s="122" t="s">
        <v>1037</v>
      </c>
      <c r="V86" s="382" t="str">
        <f>IF(U86="","",IF(VLOOKUP(U86,'G-3 Multipliers'!$L$3:$N$6,2,FALSE)=0,"Spatial Data Missing ⚠",VLOOKUP(U86,'G-3 Multipliers'!$L$3:$N$6,2,FALSE)))</f>
        <v>Low Strategic Significance</v>
      </c>
      <c r="W86" s="386">
        <f>IF(U86="","",IF(VLOOKUP(U86,'G-3 Multipliers'!$L$3:$N$6,3,FALSE)=0,"Spatial Data Missing ⚠",VLOOKUP(U86,'G-3 Multipliers'!$L$3:$N$6,3,FALSE)))</f>
        <v>1</v>
      </c>
      <c r="X86" s="362">
        <f ca="1">IFERROR(IF(OR(LEFT(O86,5)="Error",LEFT(N86,5)="Error",T86="Error"),"Check Data ⚠",IF(F86&lt;R86,INDEX('G-6 Hedgerow Data'!$S$3:$AE$14,MATCH(C86,'G-6 Hedgerow Data'!$B$3:$B$14,0),MATCH(M86,'G-6 Hedgerow Data'!$S$2:$AE$2,0)),INDEX('G-6 Hedgerow Data'!$K$3:$Q$14,MATCH(M86,'G-6 Hedgerow Data'!$B$3:$B$14,0),MATCH(O86,'G-6 Hedgerow Data'!$K$2:$Q$2,0)))),"")</f>
        <v>5</v>
      </c>
      <c r="Y86" s="159"/>
      <c r="Z86" s="159"/>
      <c r="AA86" s="370" t="str">
        <f t="shared" ca="1" si="11"/>
        <v>Standard time to target condition applied</v>
      </c>
      <c r="AB86" s="383">
        <f t="shared" ca="1" si="12"/>
        <v>5</v>
      </c>
      <c r="AC86" s="384">
        <f t="shared" ca="1" si="8"/>
        <v>0.83682870060000003</v>
      </c>
      <c r="AD86" s="398" t="str">
        <f>IF(M86="","",VLOOKUP(M86,'G-6 Hedgerow Data'!$B$3:$AG$15,31,FALSE))</f>
        <v>Low</v>
      </c>
      <c r="AE86" s="370" t="str">
        <f t="shared" ca="1" si="13"/>
        <v>Standard difficulty applied</v>
      </c>
      <c r="AF86" s="370" t="str">
        <f t="shared" ca="1" si="14"/>
        <v>Low</v>
      </c>
      <c r="AG86" s="386">
        <f ca="1">IFERROR(IF(O86="","",VLOOKUP(AD86,'G-3 Multipliers'!$P$3:$Q$6,2,FALSE)),"")</f>
        <v>1</v>
      </c>
      <c r="AH86" s="376">
        <f t="shared" ca="1" si="9"/>
        <v>0.42509976724600002</v>
      </c>
      <c r="AI86" s="188"/>
      <c r="AJ86" s="118"/>
      <c r="AK86" s="120"/>
      <c r="AT86" s="30" t="str">
        <f>IFERROR(INDEX('G-6 Hedgerow Data'!$BJ$3:$BJ$15,MATCH(M86,'G-6 Hedgerow Data'!$B$3:$B$15,0)),"")</f>
        <v>Hedgecond1</v>
      </c>
    </row>
    <row r="87" spans="2:46" ht="28.5" x14ac:dyDescent="0.2">
      <c r="B87" s="392">
        <f>'B-1 On-Site Hedge Baseline'!AK85</f>
        <v>224</v>
      </c>
      <c r="C87" s="382" t="str">
        <f ca="1">IF(B87="","",IF(ISNA(VLOOKUP($B87,'B-1 On-Site Hedge Baseline'!$B$1:$L$257,3,FALSE)),"",(VLOOKUP($B87,'B-1 On-Site Hedge Baseline'!$B$1:$L$257,3,FALSE))))</f>
        <v>Native hedgerow</v>
      </c>
      <c r="D87" s="382">
        <f ca="1">IF(B87="","",IF(ISNA(VLOOKUP($B87,'B-1 On-Site Hedge Baseline'!$B$1:$L$257,4,FALSE)),"",(VLOOKUP($B87,'B-1 On-Site Hedge Baseline'!$B$1:$L$257,4,FALSE))))</f>
        <v>0.23</v>
      </c>
      <c r="E87" s="382" t="str">
        <f ca="1">IF(B87="","",IF(ISNA(VLOOKUP($B87,'B-1 On-Site Hedge Baseline'!$B$1:$L$257,5,FALSE)),"",(VLOOKUP($B87,'B-1 On-Site Hedge Baseline'!$B$1:$L$257,5,FALSE))))</f>
        <v>Low</v>
      </c>
      <c r="F87" s="382">
        <f ca="1">IF(B87="","",IF(ISNA(VLOOKUP($B87,'B-1 On-Site Hedge Baseline'!$B$1:$L$257,6,FALSE)),"",(VLOOKUP($B87,'B-1 On-Site Hedge Baseline'!$B$1:$L$257,6,FALSE))))</f>
        <v>2</v>
      </c>
      <c r="G87" s="382" t="str">
        <f ca="1">IF(B87="","",IF(ISNA(VLOOKUP($B87,'B-1 On-Site Hedge Baseline'!$B$1:$L$257,7,FALSE)),"",(VLOOKUP($B87,'B-1 On-Site Hedge Baseline'!$B$1:$L$257,7,FALSE))))</f>
        <v>Poor</v>
      </c>
      <c r="H87" s="382">
        <f ca="1">IF(B87="","",IF(ISNA(VLOOKUP($B87,'B-1 On-Site Hedge Baseline'!$B$1:$L$257,8,FALSE)),"",(VLOOKUP($B87,'B-1 On-Site Hedge Baseline'!$B$1:$L$257,8,FALSE))))</f>
        <v>1</v>
      </c>
      <c r="I87" s="382" t="str">
        <f ca="1">IF(B87="","",IF(ISNA(VLOOKUP($B87,'B-1 On-Site Hedge Baseline'!$B$1:$L$257,10,FALSE)),"",(VLOOKUP($B87,'B-1 On-Site Hedge Baseline'!$B$1:$L$257,10,FALSE))))</f>
        <v>Low Strategic Significance</v>
      </c>
      <c r="J87" s="382">
        <f ca="1">IF(B87="","",IF(ISNA(VLOOKUP($B87,'B-1 On-Site Hedge Baseline'!$B$1:$L$257,11,FALSE)),"",(VLOOKUP($B87,'B-1 On-Site Hedge Baseline'!$B$1:$L$257,11,FALSE))))</f>
        <v>1</v>
      </c>
      <c r="K87" s="382">
        <f ca="1">IF(B87="","",IF(ISNA(VLOOKUP($B87,'B-1 On-Site Hedge Baseline'!$B$1:$U$257,13,FALSE)),"",(VLOOKUP($B87,'B-1 On-Site Hedge Baseline'!$B$1:$U$257,13,FALSE))))</f>
        <v>0.46</v>
      </c>
      <c r="L87" s="386" t="str">
        <f ca="1">IF(B87="","",IF(ISNA(VLOOKUP($B87,'B-1 On-Site Hedge Baseline'!$B$1:$U$257,12,FALSE)),"",(VLOOKUP($B87,'B-1 On-Site Hedge Baseline'!$B$1:$U$257,12,FALSE))))</f>
        <v>Same distinctiveness band or better</v>
      </c>
      <c r="M87" s="315" t="s">
        <v>171</v>
      </c>
      <c r="N87" s="362" t="str">
        <f ca="1">IFERROR(IF(B87="","",INDEX('G-6 Hedgerow Data'!$AN$3:$AZ$15,MATCH(C87,'G-6 Hedgerow Data'!$AM$3:$AM$15,0),MATCH(M87,'G-6 Hedgerow Data'!$AN$2:$AZ$2,0))),"")</f>
        <v>Low - Medium</v>
      </c>
      <c r="O87" s="363" t="str">
        <f t="shared" ca="1" si="10"/>
        <v>Lower Distinctiveness Habitat - Good</v>
      </c>
      <c r="P87" s="417">
        <f>IF(B87="","",VLOOKUP(B87,'B-1 On-Site Hedge Baseline'!$B$10:T332,16,FALSE))</f>
        <v>4.4299999999999999E-2</v>
      </c>
      <c r="Q87" s="362" t="str">
        <f>IF(M87="","",VLOOKUP(M87,'G-6 Hedgerow Data'!$B$2:$AG$15,2,FALSE))</f>
        <v>Medium</v>
      </c>
      <c r="R87" s="363">
        <f>IF(M87="","",VLOOKUP(M87,'G-6 Hedgerow Data'!$B$2:$AG$15,3,FALSE))</f>
        <v>4</v>
      </c>
      <c r="S87" s="125" t="s">
        <v>68</v>
      </c>
      <c r="T87" s="401">
        <f>IFERROR(VLOOKUP(S87,'G-1 All Habitats'!$Z$2:$AA$9,2,FALSE),"")</f>
        <v>3</v>
      </c>
      <c r="U87" s="122" t="s">
        <v>1037</v>
      </c>
      <c r="V87" s="382" t="str">
        <f>IF(U87="","",IF(VLOOKUP(U87,'G-3 Multipliers'!$L$3:$N$6,2,FALSE)=0,"Spatial Data Missing ⚠",VLOOKUP(U87,'G-3 Multipliers'!$L$3:$N$6,2,FALSE)))</f>
        <v>Low Strategic Significance</v>
      </c>
      <c r="W87" s="386">
        <f>IF(U87="","",IF(VLOOKUP(U87,'G-3 Multipliers'!$L$3:$N$6,3,FALSE)=0,"Spatial Data Missing ⚠",VLOOKUP(U87,'G-3 Multipliers'!$L$3:$N$6,3,FALSE)))</f>
        <v>1</v>
      </c>
      <c r="X87" s="362">
        <f ca="1">IFERROR(IF(OR(LEFT(O87,5)="Error",LEFT(N87,5)="Error",T87="Error"),"Check Data ⚠",IF(F87&lt;R87,INDEX('G-6 Hedgerow Data'!$S$3:$AE$14,MATCH(C87,'G-6 Hedgerow Data'!$B$3:$B$14,0),MATCH(M87,'G-6 Hedgerow Data'!$S$2:$AE$2,0)),INDEX('G-6 Hedgerow Data'!$K$3:$Q$14,MATCH(M87,'G-6 Hedgerow Data'!$B$3:$B$14,0),MATCH(O87,'G-6 Hedgerow Data'!$K$2:$Q$2,0)))),"")</f>
        <v>5</v>
      </c>
      <c r="Y87" s="159"/>
      <c r="Z87" s="159"/>
      <c r="AA87" s="370" t="str">
        <f t="shared" ca="1" si="11"/>
        <v>Standard time to target condition applied</v>
      </c>
      <c r="AB87" s="383">
        <f t="shared" ca="1" si="12"/>
        <v>5</v>
      </c>
      <c r="AC87" s="384">
        <f t="shared" ca="1" si="8"/>
        <v>0.83682870060000003</v>
      </c>
      <c r="AD87" s="398" t="str">
        <f>IF(M87="","",VLOOKUP(M87,'G-6 Hedgerow Data'!$B$3:$AG$15,31,FALSE))</f>
        <v>Low</v>
      </c>
      <c r="AE87" s="370" t="str">
        <f t="shared" ca="1" si="13"/>
        <v>Standard difficulty applied</v>
      </c>
      <c r="AF87" s="370" t="str">
        <f t="shared" ca="1" si="14"/>
        <v>Low</v>
      </c>
      <c r="AG87" s="386">
        <f ca="1">IFERROR(IF(O87="","",VLOOKUP(AD87,'G-3 Multipliers'!$P$3:$Q$6,2,FALSE)),"")</f>
        <v>1</v>
      </c>
      <c r="AH87" s="376">
        <f t="shared" ca="1" si="9"/>
        <v>0.45931511436579997</v>
      </c>
      <c r="AI87" s="188"/>
      <c r="AJ87" s="118"/>
      <c r="AK87" s="120"/>
      <c r="AT87" s="30" t="str">
        <f>IFERROR(INDEX('G-6 Hedgerow Data'!$BJ$3:$BJ$15,MATCH(M87,'G-6 Hedgerow Data'!$B$3:$B$15,0)),"")</f>
        <v>Hedgecond1</v>
      </c>
    </row>
    <row r="88" spans="2:46" ht="28.5" x14ac:dyDescent="0.2">
      <c r="B88" s="392">
        <f>'B-1 On-Site Hedge Baseline'!AK86</f>
        <v>225</v>
      </c>
      <c r="C88" s="382" t="str">
        <f ca="1">IF(B88="","",IF(ISNA(VLOOKUP($B88,'B-1 On-Site Hedge Baseline'!$B$1:$L$257,3,FALSE)),"",(VLOOKUP($B88,'B-1 On-Site Hedge Baseline'!$B$1:$L$257,3,FALSE))))</f>
        <v>Species-rich native hedgerow</v>
      </c>
      <c r="D88" s="382">
        <f ca="1">IF(B88="","",IF(ISNA(VLOOKUP($B88,'B-1 On-Site Hedge Baseline'!$B$1:$L$257,4,FALSE)),"",(VLOOKUP($B88,'B-1 On-Site Hedge Baseline'!$B$1:$L$257,4,FALSE))))</f>
        <v>0.39419999999999999</v>
      </c>
      <c r="E88" s="382" t="str">
        <f ca="1">IF(B88="","",IF(ISNA(VLOOKUP($B88,'B-1 On-Site Hedge Baseline'!$B$1:$L$257,5,FALSE)),"",(VLOOKUP($B88,'B-1 On-Site Hedge Baseline'!$B$1:$L$257,5,FALSE))))</f>
        <v>Medium</v>
      </c>
      <c r="F88" s="382">
        <f ca="1">IF(B88="","",IF(ISNA(VLOOKUP($B88,'B-1 On-Site Hedge Baseline'!$B$1:$L$257,6,FALSE)),"",(VLOOKUP($B88,'B-1 On-Site Hedge Baseline'!$B$1:$L$257,6,FALSE))))</f>
        <v>4</v>
      </c>
      <c r="G88" s="382" t="str">
        <f ca="1">IF(B88="","",IF(ISNA(VLOOKUP($B88,'B-1 On-Site Hedge Baseline'!$B$1:$L$257,7,FALSE)),"",(VLOOKUP($B88,'B-1 On-Site Hedge Baseline'!$B$1:$L$257,7,FALSE))))</f>
        <v>Good</v>
      </c>
      <c r="H88" s="382">
        <f ca="1">IF(B88="","",IF(ISNA(VLOOKUP($B88,'B-1 On-Site Hedge Baseline'!$B$1:$L$257,8,FALSE)),"",(VLOOKUP($B88,'B-1 On-Site Hedge Baseline'!$B$1:$L$257,8,FALSE))))</f>
        <v>3</v>
      </c>
      <c r="I88" s="382" t="str">
        <f ca="1">IF(B88="","",IF(ISNA(VLOOKUP($B88,'B-1 On-Site Hedge Baseline'!$B$1:$L$257,10,FALSE)),"",(VLOOKUP($B88,'B-1 On-Site Hedge Baseline'!$B$1:$L$257,10,FALSE))))</f>
        <v>Low Strategic Significance</v>
      </c>
      <c r="J88" s="382">
        <f ca="1">IF(B88="","",IF(ISNA(VLOOKUP($B88,'B-1 On-Site Hedge Baseline'!$B$1:$L$257,11,FALSE)),"",(VLOOKUP($B88,'B-1 On-Site Hedge Baseline'!$B$1:$L$257,11,FALSE))))</f>
        <v>1</v>
      </c>
      <c r="K88" s="382">
        <f ca="1">IF(B88="","",IF(ISNA(VLOOKUP($B88,'B-1 On-Site Hedge Baseline'!$B$1:$U$257,13,FALSE)),"",(VLOOKUP($B88,'B-1 On-Site Hedge Baseline'!$B$1:$U$257,13,FALSE))))</f>
        <v>4.7303999999999995</v>
      </c>
      <c r="L88" s="386" t="str">
        <f ca="1">IF(B88="","",IF(ISNA(VLOOKUP($B88,'B-1 On-Site Hedge Baseline'!$B$1:$U$257,12,FALSE)),"",(VLOOKUP($B88,'B-1 On-Site Hedge Baseline'!$B$1:$U$257,12,FALSE))))</f>
        <v>Same distinctiveness band or better</v>
      </c>
      <c r="M88" s="315" t="s">
        <v>168</v>
      </c>
      <c r="N88" s="362" t="str">
        <f ca="1">IFERROR(IF(B88="","",INDEX('G-6 Hedgerow Data'!$AN$3:$AZ$15,MATCH(C88,'G-6 Hedgerow Data'!$AM$3:$AM$15,0),MATCH(M88,'G-6 Hedgerow Data'!$AN$2:$AZ$2,0))),"")</f>
        <v>Medium - High</v>
      </c>
      <c r="O88" s="363" t="str">
        <f t="shared" ca="1" si="10"/>
        <v>Lower Distinctiveness Habitat - Good</v>
      </c>
      <c r="P88" s="417">
        <f>IF(B88="","",VLOOKUP(B88,'B-1 On-Site Hedge Baseline'!$B$10:T333,16,FALSE))</f>
        <v>0.34110000000000001</v>
      </c>
      <c r="Q88" s="362" t="str">
        <f>IF(M88="","",VLOOKUP(M88,'G-6 Hedgerow Data'!$B$2:$AG$15,2,FALSE))</f>
        <v>High</v>
      </c>
      <c r="R88" s="363">
        <f>IF(M88="","",VLOOKUP(M88,'G-6 Hedgerow Data'!$B$2:$AG$15,3,FALSE))</f>
        <v>6</v>
      </c>
      <c r="S88" s="125" t="s">
        <v>68</v>
      </c>
      <c r="T88" s="401">
        <f>IFERROR(VLOOKUP(S88,'G-1 All Habitats'!$Z$2:$AA$9,2,FALSE),"")</f>
        <v>3</v>
      </c>
      <c r="U88" s="122" t="s">
        <v>1037</v>
      </c>
      <c r="V88" s="382" t="str">
        <f>IF(U88="","",IF(VLOOKUP(U88,'G-3 Multipliers'!$L$3:$N$6,2,FALSE)=0,"Spatial Data Missing ⚠",VLOOKUP(U88,'G-3 Multipliers'!$L$3:$N$6,2,FALSE)))</f>
        <v>Low Strategic Significance</v>
      </c>
      <c r="W88" s="386">
        <f>IF(U88="","",IF(VLOOKUP(U88,'G-3 Multipliers'!$L$3:$N$6,3,FALSE)=0,"Spatial Data Missing ⚠",VLOOKUP(U88,'G-3 Multipliers'!$L$3:$N$6,3,FALSE)))</f>
        <v>1</v>
      </c>
      <c r="X88" s="362">
        <f ca="1">IFERROR(IF(OR(LEFT(O88,5)="Error",LEFT(N88,5)="Error",T88="Error"),"Check Data ⚠",IF(F88&lt;R88,INDEX('G-6 Hedgerow Data'!$S$3:$AE$14,MATCH(C88,'G-6 Hedgerow Data'!$B$3:$B$14,0),MATCH(M88,'G-6 Hedgerow Data'!$S$2:$AE$2,0)),INDEX('G-6 Hedgerow Data'!$K$3:$Q$14,MATCH(M88,'G-6 Hedgerow Data'!$B$3:$B$14,0),MATCH(O88,'G-6 Hedgerow Data'!$K$2:$Q$2,0)))),"")</f>
        <v>10</v>
      </c>
      <c r="Y88" s="159"/>
      <c r="Z88" s="159"/>
      <c r="AA88" s="370" t="str">
        <f t="shared" ca="1" si="11"/>
        <v>Standard time to target condition applied</v>
      </c>
      <c r="AB88" s="383">
        <f t="shared" ca="1" si="12"/>
        <v>10</v>
      </c>
      <c r="AC88" s="384">
        <f t="shared" ca="1" si="8"/>
        <v>0.70028227419999989</v>
      </c>
      <c r="AD88" s="398" t="str">
        <f>IF(M88="","",VLOOKUP(M88,'G-6 Hedgerow Data'!$B$3:$AG$15,31,FALSE))</f>
        <v>Low</v>
      </c>
      <c r="AE88" s="370" t="str">
        <f t="shared" ca="1" si="13"/>
        <v>Standard difficulty applied</v>
      </c>
      <c r="AF88" s="370" t="str">
        <f t="shared" ca="1" si="14"/>
        <v>Low</v>
      </c>
      <c r="AG88" s="386">
        <f ca="1">IFERROR(IF(O88="","",VLOOKUP(AD88,'G-3 Multipliers'!$P$3:$Q$6,2,FALSE)),"")</f>
        <v>1</v>
      </c>
      <c r="AH88" s="376">
        <f t="shared" ca="1" si="9"/>
        <v>5.5263977023777207</v>
      </c>
      <c r="AI88" s="188"/>
      <c r="AJ88" s="118"/>
      <c r="AK88" s="120"/>
      <c r="AT88" s="30" t="str">
        <f>IFERROR(INDEX('G-6 Hedgerow Data'!$BJ$3:$BJ$15,MATCH(M88,'G-6 Hedgerow Data'!$B$3:$B$15,0)),"")</f>
        <v>Hedgecond1</v>
      </c>
    </row>
    <row r="89" spans="2:46" ht="28.5" x14ac:dyDescent="0.2">
      <c r="B89" s="392">
        <f>'B-1 On-Site Hedge Baseline'!AK87</f>
        <v>226</v>
      </c>
      <c r="C89" s="382" t="str">
        <f ca="1">IF(B89="","",IF(ISNA(VLOOKUP($B89,'B-1 On-Site Hedge Baseline'!$B$1:$L$257,3,FALSE)),"",(VLOOKUP($B89,'B-1 On-Site Hedge Baseline'!$B$1:$L$257,3,FALSE))))</f>
        <v>Species-rich native hedgerow</v>
      </c>
      <c r="D89" s="382">
        <f ca="1">IF(B89="","",IF(ISNA(VLOOKUP($B89,'B-1 On-Site Hedge Baseline'!$B$1:$L$257,4,FALSE)),"",(VLOOKUP($B89,'B-1 On-Site Hedge Baseline'!$B$1:$L$257,4,FALSE))))</f>
        <v>0.1104</v>
      </c>
      <c r="E89" s="382" t="str">
        <f ca="1">IF(B89="","",IF(ISNA(VLOOKUP($B89,'B-1 On-Site Hedge Baseline'!$B$1:$L$257,5,FALSE)),"",(VLOOKUP($B89,'B-1 On-Site Hedge Baseline'!$B$1:$L$257,5,FALSE))))</f>
        <v>Medium</v>
      </c>
      <c r="F89" s="382">
        <f ca="1">IF(B89="","",IF(ISNA(VLOOKUP($B89,'B-1 On-Site Hedge Baseline'!$B$1:$L$257,6,FALSE)),"",(VLOOKUP($B89,'B-1 On-Site Hedge Baseline'!$B$1:$L$257,6,FALSE))))</f>
        <v>4</v>
      </c>
      <c r="G89" s="382" t="str">
        <f ca="1">IF(B89="","",IF(ISNA(VLOOKUP($B89,'B-1 On-Site Hedge Baseline'!$B$1:$L$257,7,FALSE)),"",(VLOOKUP($B89,'B-1 On-Site Hedge Baseline'!$B$1:$L$257,7,FALSE))))</f>
        <v>Good</v>
      </c>
      <c r="H89" s="382">
        <f ca="1">IF(B89="","",IF(ISNA(VLOOKUP($B89,'B-1 On-Site Hedge Baseline'!$B$1:$L$257,8,FALSE)),"",(VLOOKUP($B89,'B-1 On-Site Hedge Baseline'!$B$1:$L$257,8,FALSE))))</f>
        <v>3</v>
      </c>
      <c r="I89" s="382" t="str">
        <f ca="1">IF(B89="","",IF(ISNA(VLOOKUP($B89,'B-1 On-Site Hedge Baseline'!$B$1:$L$257,10,FALSE)),"",(VLOOKUP($B89,'B-1 On-Site Hedge Baseline'!$B$1:$L$257,10,FALSE))))</f>
        <v xml:space="preserve">High strategic significance </v>
      </c>
      <c r="J89" s="382">
        <f ca="1">IF(B89="","",IF(ISNA(VLOOKUP($B89,'B-1 On-Site Hedge Baseline'!$B$1:$L$257,11,FALSE)),"",(VLOOKUP($B89,'B-1 On-Site Hedge Baseline'!$B$1:$L$257,11,FALSE))))</f>
        <v>1.1499999999999999</v>
      </c>
      <c r="K89" s="382">
        <f ca="1">IF(B89="","",IF(ISNA(VLOOKUP($B89,'B-1 On-Site Hedge Baseline'!$B$1:$U$257,13,FALSE)),"",(VLOOKUP($B89,'B-1 On-Site Hedge Baseline'!$B$1:$U$257,13,FALSE))))</f>
        <v>1.5235199999999998</v>
      </c>
      <c r="L89" s="386" t="str">
        <f ca="1">IF(B89="","",IF(ISNA(VLOOKUP($B89,'B-1 On-Site Hedge Baseline'!$B$1:$U$257,12,FALSE)),"",(VLOOKUP($B89,'B-1 On-Site Hedge Baseline'!$B$1:$U$257,12,FALSE))))</f>
        <v>Same distinctiveness band or better</v>
      </c>
      <c r="M89" s="315" t="s">
        <v>168</v>
      </c>
      <c r="N89" s="362" t="str">
        <f ca="1">IFERROR(IF(B89="","",INDEX('G-6 Hedgerow Data'!$AN$3:$AZ$15,MATCH(C89,'G-6 Hedgerow Data'!$AM$3:$AM$15,0),MATCH(M89,'G-6 Hedgerow Data'!$AN$2:$AZ$2,0))),"")</f>
        <v>Medium - High</v>
      </c>
      <c r="O89" s="363" t="str">
        <f t="shared" ca="1" si="10"/>
        <v>Lower Distinctiveness Habitat - Good</v>
      </c>
      <c r="P89" s="417">
        <f>IF(B89="","",VLOOKUP(B89,'B-1 On-Site Hedge Baseline'!$B$10:T334,16,FALSE))</f>
        <v>5.45E-2</v>
      </c>
      <c r="Q89" s="362" t="str">
        <f>IF(M89="","",VLOOKUP(M89,'G-6 Hedgerow Data'!$B$2:$AG$15,2,FALSE))</f>
        <v>High</v>
      </c>
      <c r="R89" s="363">
        <f>IF(M89="","",VLOOKUP(M89,'G-6 Hedgerow Data'!$B$2:$AG$15,3,FALSE))</f>
        <v>6</v>
      </c>
      <c r="S89" s="125" t="s">
        <v>68</v>
      </c>
      <c r="T89" s="401">
        <f>IFERROR(VLOOKUP(S89,'G-1 All Habitats'!$Z$2:$AA$9,2,FALSE),"")</f>
        <v>3</v>
      </c>
      <c r="U89" s="122" t="s">
        <v>1029</v>
      </c>
      <c r="V89" s="382" t="str">
        <f>IF(U89="","",IF(VLOOKUP(U89,'G-3 Multipliers'!$L$3:$N$6,2,FALSE)=0,"Spatial Data Missing ⚠",VLOOKUP(U89,'G-3 Multipliers'!$L$3:$N$6,2,FALSE)))</f>
        <v xml:space="preserve">High strategic significance </v>
      </c>
      <c r="W89" s="386">
        <f>IF(U89="","",IF(VLOOKUP(U89,'G-3 Multipliers'!$L$3:$N$6,3,FALSE)=0,"Spatial Data Missing ⚠",VLOOKUP(U89,'G-3 Multipliers'!$L$3:$N$6,3,FALSE)))</f>
        <v>1.1499999999999999</v>
      </c>
      <c r="X89" s="362">
        <f ca="1">IFERROR(IF(OR(LEFT(O89,5)="Error",LEFT(N89,5)="Error",T89="Error"),"Check Data ⚠",IF(F89&lt;R89,INDEX('G-6 Hedgerow Data'!$S$3:$AE$14,MATCH(C89,'G-6 Hedgerow Data'!$B$3:$B$14,0),MATCH(M89,'G-6 Hedgerow Data'!$S$2:$AE$2,0)),INDEX('G-6 Hedgerow Data'!$K$3:$Q$14,MATCH(M89,'G-6 Hedgerow Data'!$B$3:$B$14,0),MATCH(O89,'G-6 Hedgerow Data'!$K$2:$Q$2,0)))),"")</f>
        <v>10</v>
      </c>
      <c r="Y89" s="159"/>
      <c r="Z89" s="159"/>
      <c r="AA89" s="370" t="str">
        <f t="shared" ca="1" si="11"/>
        <v>Standard time to target condition applied</v>
      </c>
      <c r="AB89" s="383">
        <f t="shared" ca="1" si="12"/>
        <v>10</v>
      </c>
      <c r="AC89" s="384">
        <f t="shared" ca="1" si="8"/>
        <v>0.70028227419999989</v>
      </c>
      <c r="AD89" s="398" t="str">
        <f>IF(M89="","",VLOOKUP(M89,'G-6 Hedgerow Data'!$B$3:$AG$15,31,FALSE))</f>
        <v>Low</v>
      </c>
      <c r="AE89" s="370" t="str">
        <f t="shared" ca="1" si="13"/>
        <v>Standard difficulty applied</v>
      </c>
      <c r="AF89" s="370" t="str">
        <f t="shared" ca="1" si="14"/>
        <v>Low</v>
      </c>
      <c r="AG89" s="386">
        <f ca="1">IFERROR(IF(O89="","",VLOOKUP(AD89,'G-3 Multipliers'!$P$3:$Q$6,2,FALSE)),"")</f>
        <v>1</v>
      </c>
      <c r="AH89" s="376">
        <f t="shared" ca="1" si="9"/>
        <v>1.0154411492129098</v>
      </c>
      <c r="AI89" s="188"/>
      <c r="AJ89" s="118"/>
      <c r="AK89" s="120"/>
      <c r="AT89" s="30" t="str">
        <f>IFERROR(INDEX('G-6 Hedgerow Data'!$BJ$3:$BJ$15,MATCH(M89,'G-6 Hedgerow Data'!$B$3:$B$15,0)),"")</f>
        <v>Hedgecond1</v>
      </c>
    </row>
    <row r="90" spans="2:46" ht="28.5" x14ac:dyDescent="0.2">
      <c r="B90" s="392">
        <f>'B-1 On-Site Hedge Baseline'!AK88</f>
        <v>229</v>
      </c>
      <c r="C90" s="382" t="str">
        <f ca="1">IF(B90="","",IF(ISNA(VLOOKUP($B90,'B-1 On-Site Hedge Baseline'!$B$1:$L$257,3,FALSE)),"",(VLOOKUP($B90,'B-1 On-Site Hedge Baseline'!$B$1:$L$257,3,FALSE))))</f>
        <v>Native hedgerow</v>
      </c>
      <c r="D90" s="382">
        <f ca="1">IF(B90="","",IF(ISNA(VLOOKUP($B90,'B-1 On-Site Hedge Baseline'!$B$1:$L$257,4,FALSE)),"",(VLOOKUP($B90,'B-1 On-Site Hedge Baseline'!$B$1:$L$257,4,FALSE))))</f>
        <v>0.121</v>
      </c>
      <c r="E90" s="382" t="str">
        <f ca="1">IF(B90="","",IF(ISNA(VLOOKUP($B90,'B-1 On-Site Hedge Baseline'!$B$1:$L$257,5,FALSE)),"",(VLOOKUP($B90,'B-1 On-Site Hedge Baseline'!$B$1:$L$257,5,FALSE))))</f>
        <v>Low</v>
      </c>
      <c r="F90" s="382">
        <f ca="1">IF(B90="","",IF(ISNA(VLOOKUP($B90,'B-1 On-Site Hedge Baseline'!$B$1:$L$257,6,FALSE)),"",(VLOOKUP($B90,'B-1 On-Site Hedge Baseline'!$B$1:$L$257,6,FALSE))))</f>
        <v>2</v>
      </c>
      <c r="G90" s="382" t="str">
        <f ca="1">IF(B90="","",IF(ISNA(VLOOKUP($B90,'B-1 On-Site Hedge Baseline'!$B$1:$L$257,7,FALSE)),"",(VLOOKUP($B90,'B-1 On-Site Hedge Baseline'!$B$1:$L$257,7,FALSE))))</f>
        <v>Good</v>
      </c>
      <c r="H90" s="382">
        <f ca="1">IF(B90="","",IF(ISNA(VLOOKUP($B90,'B-1 On-Site Hedge Baseline'!$B$1:$L$257,8,FALSE)),"",(VLOOKUP($B90,'B-1 On-Site Hedge Baseline'!$B$1:$L$257,8,FALSE))))</f>
        <v>3</v>
      </c>
      <c r="I90" s="382" t="str">
        <f ca="1">IF(B90="","",IF(ISNA(VLOOKUP($B90,'B-1 On-Site Hedge Baseline'!$B$1:$L$257,10,FALSE)),"",(VLOOKUP($B90,'B-1 On-Site Hedge Baseline'!$B$1:$L$257,10,FALSE))))</f>
        <v xml:space="preserve">High strategic significance </v>
      </c>
      <c r="J90" s="382">
        <f ca="1">IF(B90="","",IF(ISNA(VLOOKUP($B90,'B-1 On-Site Hedge Baseline'!$B$1:$L$257,11,FALSE)),"",(VLOOKUP($B90,'B-1 On-Site Hedge Baseline'!$B$1:$L$257,11,FALSE))))</f>
        <v>1.1499999999999999</v>
      </c>
      <c r="K90" s="382">
        <f ca="1">IF(B90="","",IF(ISNA(VLOOKUP($B90,'B-1 On-Site Hedge Baseline'!$B$1:$U$257,13,FALSE)),"",(VLOOKUP($B90,'B-1 On-Site Hedge Baseline'!$B$1:$U$257,13,FALSE))))</f>
        <v>0.83489999999999986</v>
      </c>
      <c r="L90" s="386" t="str">
        <f ca="1">IF(B90="","",IF(ISNA(VLOOKUP($B90,'B-1 On-Site Hedge Baseline'!$B$1:$U$257,12,FALSE)),"",(VLOOKUP($B90,'B-1 On-Site Hedge Baseline'!$B$1:$U$257,12,FALSE))))</f>
        <v>Same distinctiveness band or better</v>
      </c>
      <c r="M90" s="315" t="s">
        <v>171</v>
      </c>
      <c r="N90" s="362" t="str">
        <f ca="1">IFERROR(IF(B90="","",INDEX('G-6 Hedgerow Data'!$AN$3:$AZ$15,MATCH(C90,'G-6 Hedgerow Data'!$AM$3:$AM$15,0),MATCH(M90,'G-6 Hedgerow Data'!$AN$2:$AZ$2,0))),"")</f>
        <v>Low - Medium</v>
      </c>
      <c r="O90" s="363" t="str">
        <f t="shared" ca="1" si="10"/>
        <v>Lower Distinctiveness Habitat - Good</v>
      </c>
      <c r="P90" s="417">
        <f>IF(B90="","",VLOOKUP(B90,'B-1 On-Site Hedge Baseline'!$B$10:T335,16,FALSE))</f>
        <v>9.8699999999999996E-2</v>
      </c>
      <c r="Q90" s="362" t="str">
        <f>IF(M90="","",VLOOKUP(M90,'G-6 Hedgerow Data'!$B$2:$AG$15,2,FALSE))</f>
        <v>Medium</v>
      </c>
      <c r="R90" s="363">
        <f>IF(M90="","",VLOOKUP(M90,'G-6 Hedgerow Data'!$B$2:$AG$15,3,FALSE))</f>
        <v>4</v>
      </c>
      <c r="S90" s="125" t="s">
        <v>68</v>
      </c>
      <c r="T90" s="401">
        <f>IFERROR(VLOOKUP(S90,'G-1 All Habitats'!$Z$2:$AA$9,2,FALSE),"")</f>
        <v>3</v>
      </c>
      <c r="U90" s="122" t="s">
        <v>1029</v>
      </c>
      <c r="V90" s="382" t="str">
        <f>IF(U90="","",IF(VLOOKUP(U90,'G-3 Multipliers'!$L$3:$N$6,2,FALSE)=0,"Spatial Data Missing ⚠",VLOOKUP(U90,'G-3 Multipliers'!$L$3:$N$6,2,FALSE)))</f>
        <v xml:space="preserve">High strategic significance </v>
      </c>
      <c r="W90" s="386">
        <f>IF(U90="","",IF(VLOOKUP(U90,'G-3 Multipliers'!$L$3:$N$6,3,FALSE)=0,"Spatial Data Missing ⚠",VLOOKUP(U90,'G-3 Multipliers'!$L$3:$N$6,3,FALSE)))</f>
        <v>1.1499999999999999</v>
      </c>
      <c r="X90" s="362">
        <f ca="1">IFERROR(IF(OR(LEFT(O90,5)="Error",LEFT(N90,5)="Error",T90="Error"),"Check Data ⚠",IF(F90&lt;R90,INDEX('G-6 Hedgerow Data'!$S$3:$AE$14,MATCH(C90,'G-6 Hedgerow Data'!$B$3:$B$14,0),MATCH(M90,'G-6 Hedgerow Data'!$S$2:$AE$2,0)),INDEX('G-6 Hedgerow Data'!$K$3:$Q$14,MATCH(M90,'G-6 Hedgerow Data'!$B$3:$B$14,0),MATCH(O90,'G-6 Hedgerow Data'!$K$2:$Q$2,0)))),"")</f>
        <v>5</v>
      </c>
      <c r="Y90" s="159"/>
      <c r="Z90" s="159"/>
      <c r="AA90" s="370" t="str">
        <f t="shared" ca="1" si="11"/>
        <v>Standard time to target condition applied</v>
      </c>
      <c r="AB90" s="383">
        <f t="shared" ca="1" si="12"/>
        <v>5</v>
      </c>
      <c r="AC90" s="384">
        <f t="shared" ca="1" si="8"/>
        <v>0.83682870060000003</v>
      </c>
      <c r="AD90" s="398" t="str">
        <f>IF(M90="","",VLOOKUP(M90,'G-6 Hedgerow Data'!$B$3:$AG$15,31,FALSE))</f>
        <v>Low</v>
      </c>
      <c r="AE90" s="370" t="str">
        <f t="shared" ca="1" si="13"/>
        <v>Standard difficulty applied</v>
      </c>
      <c r="AF90" s="370" t="str">
        <f t="shared" ca="1" si="14"/>
        <v>Low</v>
      </c>
      <c r="AG90" s="386">
        <f ca="1">IFERROR(IF(O90="","",VLOOKUP(AD90,'G-3 Multipliers'!$P$3:$Q$6,2,FALSE)),"")</f>
        <v>1</v>
      </c>
      <c r="AH90" s="376">
        <f t="shared" ca="1" si="9"/>
        <v>1.2509354499696179</v>
      </c>
      <c r="AI90" s="188"/>
      <c r="AJ90" s="118"/>
      <c r="AK90" s="120"/>
      <c r="AT90" s="30" t="str">
        <f>IFERROR(INDEX('G-6 Hedgerow Data'!$BJ$3:$BJ$15,MATCH(M90,'G-6 Hedgerow Data'!$B$3:$B$15,0)),"")</f>
        <v>Hedgecond1</v>
      </c>
    </row>
    <row r="91" spans="2:46" ht="28.5" x14ac:dyDescent="0.2">
      <c r="B91" s="392">
        <f>'B-1 On-Site Hedge Baseline'!AK89</f>
        <v>231</v>
      </c>
      <c r="C91" s="382" t="str">
        <f ca="1">IF(B91="","",IF(ISNA(VLOOKUP($B91,'B-1 On-Site Hedge Baseline'!$B$1:$L$257,3,FALSE)),"",(VLOOKUP($B91,'B-1 On-Site Hedge Baseline'!$B$1:$L$257,3,FALSE))))</f>
        <v>Species-rich native hedgerow</v>
      </c>
      <c r="D91" s="382">
        <f ca="1">IF(B91="","",IF(ISNA(VLOOKUP($B91,'B-1 On-Site Hedge Baseline'!$B$1:$L$257,4,FALSE)),"",(VLOOKUP($B91,'B-1 On-Site Hedge Baseline'!$B$1:$L$257,4,FALSE))))</f>
        <v>0.48430000000000001</v>
      </c>
      <c r="E91" s="382" t="str">
        <f ca="1">IF(B91="","",IF(ISNA(VLOOKUP($B91,'B-1 On-Site Hedge Baseline'!$B$1:$L$257,5,FALSE)),"",(VLOOKUP($B91,'B-1 On-Site Hedge Baseline'!$B$1:$L$257,5,FALSE))))</f>
        <v>Medium</v>
      </c>
      <c r="F91" s="382">
        <f ca="1">IF(B91="","",IF(ISNA(VLOOKUP($B91,'B-1 On-Site Hedge Baseline'!$B$1:$L$257,6,FALSE)),"",(VLOOKUP($B91,'B-1 On-Site Hedge Baseline'!$B$1:$L$257,6,FALSE))))</f>
        <v>4</v>
      </c>
      <c r="G91" s="382" t="str">
        <f ca="1">IF(B91="","",IF(ISNA(VLOOKUP($B91,'B-1 On-Site Hedge Baseline'!$B$1:$L$257,7,FALSE)),"",(VLOOKUP($B91,'B-1 On-Site Hedge Baseline'!$B$1:$L$257,7,FALSE))))</f>
        <v>Moderate</v>
      </c>
      <c r="H91" s="382">
        <f ca="1">IF(B91="","",IF(ISNA(VLOOKUP($B91,'B-1 On-Site Hedge Baseline'!$B$1:$L$257,8,FALSE)),"",(VLOOKUP($B91,'B-1 On-Site Hedge Baseline'!$B$1:$L$257,8,FALSE))))</f>
        <v>2</v>
      </c>
      <c r="I91" s="382" t="str">
        <f ca="1">IF(B91="","",IF(ISNA(VLOOKUP($B91,'B-1 On-Site Hedge Baseline'!$B$1:$L$257,10,FALSE)),"",(VLOOKUP($B91,'B-1 On-Site Hedge Baseline'!$B$1:$L$257,10,FALSE))))</f>
        <v>Low Strategic Significance</v>
      </c>
      <c r="J91" s="382">
        <f ca="1">IF(B91="","",IF(ISNA(VLOOKUP($B91,'B-1 On-Site Hedge Baseline'!$B$1:$L$257,11,FALSE)),"",(VLOOKUP($B91,'B-1 On-Site Hedge Baseline'!$B$1:$L$257,11,FALSE))))</f>
        <v>1</v>
      </c>
      <c r="K91" s="382">
        <f ca="1">IF(B91="","",IF(ISNA(VLOOKUP($B91,'B-1 On-Site Hedge Baseline'!$B$1:$U$257,13,FALSE)),"",(VLOOKUP($B91,'B-1 On-Site Hedge Baseline'!$B$1:$U$257,13,FALSE))))</f>
        <v>3.8744000000000001</v>
      </c>
      <c r="L91" s="386" t="str">
        <f ca="1">IF(B91="","",IF(ISNA(VLOOKUP($B91,'B-1 On-Site Hedge Baseline'!$B$1:$U$257,12,FALSE)),"",(VLOOKUP($B91,'B-1 On-Site Hedge Baseline'!$B$1:$U$257,12,FALSE))))</f>
        <v>Same distinctiveness band or better</v>
      </c>
      <c r="M91" s="315" t="str">
        <f t="shared" ref="M91:M141" ca="1" si="15">IF(B91="","",C91)</f>
        <v>Species-rich native hedgerow</v>
      </c>
      <c r="N91" s="362" t="str">
        <f ca="1">IFERROR(IF(B91="","",INDEX('G-6 Hedgerow Data'!$AN$3:$AZ$15,MATCH(C91,'G-6 Hedgerow Data'!$AM$3:$AM$15,0),MATCH(M91,'G-6 Hedgerow Data'!$AN$2:$AZ$2,0))),"")</f>
        <v>Medium - Medium</v>
      </c>
      <c r="O91" s="363" t="str">
        <f t="shared" ca="1" si="10"/>
        <v>Moderate - Good</v>
      </c>
      <c r="P91" s="417">
        <f>IF(B91="","",VLOOKUP(B91,'B-1 On-Site Hedge Baseline'!$B$10:T336,16,FALSE))</f>
        <v>0.43</v>
      </c>
      <c r="Q91" s="362" t="str">
        <f ca="1">IF(M91="","",VLOOKUP(M91,'G-6 Hedgerow Data'!$B$2:$AG$15,2,FALSE))</f>
        <v>Medium</v>
      </c>
      <c r="R91" s="363">
        <f ca="1">IF(M91="","",VLOOKUP(M91,'G-6 Hedgerow Data'!$B$2:$AG$15,3,FALSE))</f>
        <v>4</v>
      </c>
      <c r="S91" s="125" t="s">
        <v>68</v>
      </c>
      <c r="T91" s="401">
        <f>IFERROR(VLOOKUP(S91,'G-1 All Habitats'!$Z$2:$AA$9,2,FALSE),"")</f>
        <v>3</v>
      </c>
      <c r="U91" s="122" t="s">
        <v>1037</v>
      </c>
      <c r="V91" s="382" t="str">
        <f>IF(U91="","",IF(VLOOKUP(U91,'G-3 Multipliers'!$L$3:$N$6,2,FALSE)=0,"Spatial Data Missing ⚠",VLOOKUP(U91,'G-3 Multipliers'!$L$3:$N$6,2,FALSE)))</f>
        <v>Low Strategic Significance</v>
      </c>
      <c r="W91" s="386">
        <f>IF(U91="","",IF(VLOOKUP(U91,'G-3 Multipliers'!$L$3:$N$6,3,FALSE)=0,"Spatial Data Missing ⚠",VLOOKUP(U91,'G-3 Multipliers'!$L$3:$N$6,3,FALSE)))</f>
        <v>1</v>
      </c>
      <c r="X91" s="362">
        <f ca="1">IFERROR(IF(OR(LEFT(O91,5)="Error",LEFT(N91,5)="Error",T91="Error"),"Check Data ⚠",IF(F91&lt;R91,INDEX('G-6 Hedgerow Data'!$S$3:$AE$14,MATCH(C91,'G-6 Hedgerow Data'!$B$3:$B$14,0),MATCH(M91,'G-6 Hedgerow Data'!$S$2:$AE$2,0)),INDEX('G-6 Hedgerow Data'!$K$3:$Q$14,MATCH(M91,'G-6 Hedgerow Data'!$B$3:$B$14,0),MATCH(O91,'G-6 Hedgerow Data'!$K$2:$Q$2,0)))),"")</f>
        <v>2</v>
      </c>
      <c r="Y91" s="159"/>
      <c r="Z91" s="159"/>
      <c r="AA91" s="370" t="str">
        <f t="shared" ca="1" si="11"/>
        <v>Standard time to target condition applied</v>
      </c>
      <c r="AB91" s="383">
        <f t="shared" ca="1" si="12"/>
        <v>2</v>
      </c>
      <c r="AC91" s="384">
        <f t="shared" ca="1" si="8"/>
        <v>0.93122499999999997</v>
      </c>
      <c r="AD91" s="398" t="str">
        <f ca="1">IF(M91="","",VLOOKUP(M91,'G-6 Hedgerow Data'!$B$3:$AG$15,31,FALSE))</f>
        <v>Low</v>
      </c>
      <c r="AE91" s="370" t="str">
        <f t="shared" ca="1" si="13"/>
        <v>Standard difficulty applied</v>
      </c>
      <c r="AF91" s="370" t="str">
        <f t="shared" ca="1" si="14"/>
        <v>Low</v>
      </c>
      <c r="AG91" s="386">
        <f ca="1">IFERROR(IF(O91="","",VLOOKUP(AD91,'G-3 Multipliers'!$P$3:$Q$6,2,FALSE)),"")</f>
        <v>1</v>
      </c>
      <c r="AH91" s="376">
        <f t="shared" ca="1" si="9"/>
        <v>5.0417070000000006</v>
      </c>
      <c r="AI91" s="188"/>
      <c r="AJ91" s="118"/>
      <c r="AK91" s="120"/>
      <c r="AT91" s="30" t="str">
        <f ca="1">IFERROR(INDEX('G-6 Hedgerow Data'!$BJ$3:$BJ$15,MATCH(M91,'G-6 Hedgerow Data'!$B$3:$B$15,0)),"")</f>
        <v>Hedgecond1</v>
      </c>
    </row>
    <row r="92" spans="2:46" ht="28.5" x14ac:dyDescent="0.2">
      <c r="B92" s="392">
        <f>'B-1 On-Site Hedge Baseline'!AK90</f>
        <v>237</v>
      </c>
      <c r="C92" s="382" t="str">
        <f ca="1">IF(B92="","",IF(ISNA(VLOOKUP($B92,'B-1 On-Site Hedge Baseline'!$B$1:$L$257,3,FALSE)),"",(VLOOKUP($B92,'B-1 On-Site Hedge Baseline'!$B$1:$L$257,3,FALSE))))</f>
        <v>Native hedgerow</v>
      </c>
      <c r="D92" s="382">
        <f ca="1">IF(B92="","",IF(ISNA(VLOOKUP($B92,'B-1 On-Site Hedge Baseline'!$B$1:$L$257,4,FALSE)),"",(VLOOKUP($B92,'B-1 On-Site Hedge Baseline'!$B$1:$L$257,4,FALSE))))</f>
        <v>5.2699999999999997E-2</v>
      </c>
      <c r="E92" s="382" t="str">
        <f ca="1">IF(B92="","",IF(ISNA(VLOOKUP($B92,'B-1 On-Site Hedge Baseline'!$B$1:$L$257,5,FALSE)),"",(VLOOKUP($B92,'B-1 On-Site Hedge Baseline'!$B$1:$L$257,5,FALSE))))</f>
        <v>Low</v>
      </c>
      <c r="F92" s="382">
        <f ca="1">IF(B92="","",IF(ISNA(VLOOKUP($B92,'B-1 On-Site Hedge Baseline'!$B$1:$L$257,6,FALSE)),"",(VLOOKUP($B92,'B-1 On-Site Hedge Baseline'!$B$1:$L$257,6,FALSE))))</f>
        <v>2</v>
      </c>
      <c r="G92" s="382" t="str">
        <f ca="1">IF(B92="","",IF(ISNA(VLOOKUP($B92,'B-1 On-Site Hedge Baseline'!$B$1:$L$257,7,FALSE)),"",(VLOOKUP($B92,'B-1 On-Site Hedge Baseline'!$B$1:$L$257,7,FALSE))))</f>
        <v>Good</v>
      </c>
      <c r="H92" s="382">
        <f ca="1">IF(B92="","",IF(ISNA(VLOOKUP($B92,'B-1 On-Site Hedge Baseline'!$B$1:$L$257,8,FALSE)),"",(VLOOKUP($B92,'B-1 On-Site Hedge Baseline'!$B$1:$L$257,8,FALSE))))</f>
        <v>3</v>
      </c>
      <c r="I92" s="382" t="str">
        <f ca="1">IF(B92="","",IF(ISNA(VLOOKUP($B92,'B-1 On-Site Hedge Baseline'!$B$1:$L$257,10,FALSE)),"",(VLOOKUP($B92,'B-1 On-Site Hedge Baseline'!$B$1:$L$257,10,FALSE))))</f>
        <v xml:space="preserve">High strategic significance </v>
      </c>
      <c r="J92" s="382">
        <f ca="1">IF(B92="","",IF(ISNA(VLOOKUP($B92,'B-1 On-Site Hedge Baseline'!$B$1:$L$257,11,FALSE)),"",(VLOOKUP($B92,'B-1 On-Site Hedge Baseline'!$B$1:$L$257,11,FALSE))))</f>
        <v>1.1499999999999999</v>
      </c>
      <c r="K92" s="382">
        <f ca="1">IF(B92="","",IF(ISNA(VLOOKUP($B92,'B-1 On-Site Hedge Baseline'!$B$1:$U$257,13,FALSE)),"",(VLOOKUP($B92,'B-1 On-Site Hedge Baseline'!$B$1:$U$257,13,FALSE))))</f>
        <v>0.36362999999999995</v>
      </c>
      <c r="L92" s="386" t="str">
        <f ca="1">IF(B92="","",IF(ISNA(VLOOKUP($B92,'B-1 On-Site Hedge Baseline'!$B$1:$U$257,12,FALSE)),"",(VLOOKUP($B92,'B-1 On-Site Hedge Baseline'!$B$1:$U$257,12,FALSE))))</f>
        <v>Same distinctiveness band or better</v>
      </c>
      <c r="M92" s="315" t="s">
        <v>171</v>
      </c>
      <c r="N92" s="362" t="str">
        <f ca="1">IFERROR(IF(B92="","",INDEX('G-6 Hedgerow Data'!$AN$3:$AZ$15,MATCH(C92,'G-6 Hedgerow Data'!$AM$3:$AM$15,0),MATCH(M92,'G-6 Hedgerow Data'!$AN$2:$AZ$2,0))),"")</f>
        <v>Low - Medium</v>
      </c>
      <c r="O92" s="363" t="str">
        <f t="shared" ca="1" si="10"/>
        <v>Lower Distinctiveness Habitat - Good</v>
      </c>
      <c r="P92" s="417">
        <f>IF(B92="","",VLOOKUP(B92,'B-1 On-Site Hedge Baseline'!$B$10:T337,16,FALSE))</f>
        <v>4.0599999999999997E-2</v>
      </c>
      <c r="Q92" s="362" t="str">
        <f>IF(M92="","",VLOOKUP(M92,'G-6 Hedgerow Data'!$B$2:$AG$15,2,FALSE))</f>
        <v>Medium</v>
      </c>
      <c r="R92" s="363">
        <f>IF(M92="","",VLOOKUP(M92,'G-6 Hedgerow Data'!$B$2:$AG$15,3,FALSE))</f>
        <v>4</v>
      </c>
      <c r="S92" s="125" t="s">
        <v>68</v>
      </c>
      <c r="T92" s="401">
        <f>IFERROR(VLOOKUP(S92,'G-1 All Habitats'!$Z$2:$AA$9,2,FALSE),"")</f>
        <v>3</v>
      </c>
      <c r="U92" s="122" t="s">
        <v>1029</v>
      </c>
      <c r="V92" s="382" t="str">
        <f>IF(U92="","",IF(VLOOKUP(U92,'G-3 Multipliers'!$L$3:$N$6,2,FALSE)=0,"Spatial Data Missing ⚠",VLOOKUP(U92,'G-3 Multipliers'!$L$3:$N$6,2,FALSE)))</f>
        <v xml:space="preserve">High strategic significance </v>
      </c>
      <c r="W92" s="386">
        <f>IF(U92="","",IF(VLOOKUP(U92,'G-3 Multipliers'!$L$3:$N$6,3,FALSE)=0,"Spatial Data Missing ⚠",VLOOKUP(U92,'G-3 Multipliers'!$L$3:$N$6,3,FALSE)))</f>
        <v>1.1499999999999999</v>
      </c>
      <c r="X92" s="362">
        <f ca="1">IFERROR(IF(OR(LEFT(O92,5)="Error",LEFT(N92,5)="Error",T92="Error"),"Check Data ⚠",IF(F92&lt;R92,INDEX('G-6 Hedgerow Data'!$S$3:$AE$14,MATCH(C92,'G-6 Hedgerow Data'!$B$3:$B$14,0),MATCH(M92,'G-6 Hedgerow Data'!$S$2:$AE$2,0)),INDEX('G-6 Hedgerow Data'!$K$3:$Q$14,MATCH(M92,'G-6 Hedgerow Data'!$B$3:$B$14,0),MATCH(O92,'G-6 Hedgerow Data'!$K$2:$Q$2,0)))),"")</f>
        <v>5</v>
      </c>
      <c r="Y92" s="159"/>
      <c r="Z92" s="159"/>
      <c r="AA92" s="370" t="str">
        <f t="shared" ca="1" si="11"/>
        <v>Standard time to target condition applied</v>
      </c>
      <c r="AB92" s="383">
        <f t="shared" ca="1" si="12"/>
        <v>5</v>
      </c>
      <c r="AC92" s="384">
        <f t="shared" ca="1" si="8"/>
        <v>0.83682870060000003</v>
      </c>
      <c r="AD92" s="398" t="str">
        <f>IF(M92="","",VLOOKUP(M92,'G-6 Hedgerow Data'!$B$3:$AG$15,31,FALSE))</f>
        <v>Low</v>
      </c>
      <c r="AE92" s="370" t="str">
        <f t="shared" ca="1" si="13"/>
        <v>Standard difficulty applied</v>
      </c>
      <c r="AF92" s="370" t="str">
        <f t="shared" ca="1" si="14"/>
        <v>Low</v>
      </c>
      <c r="AG92" s="386">
        <f ca="1">IFERROR(IF(O92="","",VLOOKUP(AD92,'G-3 Multipliers'!$P$3:$Q$6,2,FALSE)),"")</f>
        <v>1</v>
      </c>
      <c r="AH92" s="376">
        <f t="shared" ca="1" si="9"/>
        <v>0.51456919218608399</v>
      </c>
      <c r="AI92" s="188"/>
      <c r="AJ92" s="118"/>
      <c r="AK92" s="120"/>
      <c r="AT92" s="30" t="str">
        <f>IFERROR(INDEX('G-6 Hedgerow Data'!$BJ$3:$BJ$15,MATCH(M92,'G-6 Hedgerow Data'!$B$3:$B$15,0)),"")</f>
        <v>Hedgecond1</v>
      </c>
    </row>
    <row r="93" spans="2:46" ht="28.5" x14ac:dyDescent="0.2">
      <c r="B93" s="392">
        <f>'B-1 On-Site Hedge Baseline'!AK91</f>
        <v>240</v>
      </c>
      <c r="C93" s="382" t="str">
        <f ca="1">IF(B93="","",IF(ISNA(VLOOKUP($B93,'B-1 On-Site Hedge Baseline'!$B$1:$L$257,3,FALSE)),"",(VLOOKUP($B93,'B-1 On-Site Hedge Baseline'!$B$1:$L$257,3,FALSE))))</f>
        <v>Species-rich native hedgerow</v>
      </c>
      <c r="D93" s="382">
        <f ca="1">IF(B93="","",IF(ISNA(VLOOKUP($B93,'B-1 On-Site Hedge Baseline'!$B$1:$L$257,4,FALSE)),"",(VLOOKUP($B93,'B-1 On-Site Hedge Baseline'!$B$1:$L$257,4,FALSE))))</f>
        <v>0.24010000000000001</v>
      </c>
      <c r="E93" s="382" t="str">
        <f ca="1">IF(B93="","",IF(ISNA(VLOOKUP($B93,'B-1 On-Site Hedge Baseline'!$B$1:$L$257,5,FALSE)),"",(VLOOKUP($B93,'B-1 On-Site Hedge Baseline'!$B$1:$L$257,5,FALSE))))</f>
        <v>Medium</v>
      </c>
      <c r="F93" s="382">
        <f ca="1">IF(B93="","",IF(ISNA(VLOOKUP($B93,'B-1 On-Site Hedge Baseline'!$B$1:$L$257,6,FALSE)),"",(VLOOKUP($B93,'B-1 On-Site Hedge Baseline'!$B$1:$L$257,6,FALSE))))</f>
        <v>4</v>
      </c>
      <c r="G93" s="382" t="str">
        <f ca="1">IF(B93="","",IF(ISNA(VLOOKUP($B93,'B-1 On-Site Hedge Baseline'!$B$1:$L$257,7,FALSE)),"",(VLOOKUP($B93,'B-1 On-Site Hedge Baseline'!$B$1:$L$257,7,FALSE))))</f>
        <v>Good</v>
      </c>
      <c r="H93" s="382">
        <f ca="1">IF(B93="","",IF(ISNA(VLOOKUP($B93,'B-1 On-Site Hedge Baseline'!$B$1:$L$257,8,FALSE)),"",(VLOOKUP($B93,'B-1 On-Site Hedge Baseline'!$B$1:$L$257,8,FALSE))))</f>
        <v>3</v>
      </c>
      <c r="I93" s="382" t="str">
        <f ca="1">IF(B93="","",IF(ISNA(VLOOKUP($B93,'B-1 On-Site Hedge Baseline'!$B$1:$L$257,10,FALSE)),"",(VLOOKUP($B93,'B-1 On-Site Hedge Baseline'!$B$1:$L$257,10,FALSE))))</f>
        <v>Low Strategic Significance</v>
      </c>
      <c r="J93" s="382">
        <f ca="1">IF(B93="","",IF(ISNA(VLOOKUP($B93,'B-1 On-Site Hedge Baseline'!$B$1:$L$257,11,FALSE)),"",(VLOOKUP($B93,'B-1 On-Site Hedge Baseline'!$B$1:$L$257,11,FALSE))))</f>
        <v>1</v>
      </c>
      <c r="K93" s="382">
        <f ca="1">IF(B93="","",IF(ISNA(VLOOKUP($B93,'B-1 On-Site Hedge Baseline'!$B$1:$U$257,13,FALSE)),"",(VLOOKUP($B93,'B-1 On-Site Hedge Baseline'!$B$1:$U$257,13,FALSE))))</f>
        <v>2.8812000000000002</v>
      </c>
      <c r="L93" s="386" t="str">
        <f ca="1">IF(B93="","",IF(ISNA(VLOOKUP($B93,'B-1 On-Site Hedge Baseline'!$B$1:$U$257,12,FALSE)),"",(VLOOKUP($B93,'B-1 On-Site Hedge Baseline'!$B$1:$U$257,12,FALSE))))</f>
        <v>Same distinctiveness band or better</v>
      </c>
      <c r="M93" s="315" t="s">
        <v>168</v>
      </c>
      <c r="N93" s="362" t="str">
        <f ca="1">IFERROR(IF(B93="","",INDEX('G-6 Hedgerow Data'!$AN$3:$AZ$15,MATCH(C93,'G-6 Hedgerow Data'!$AM$3:$AM$15,0),MATCH(M93,'G-6 Hedgerow Data'!$AN$2:$AZ$2,0))),"")</f>
        <v>Medium - High</v>
      </c>
      <c r="O93" s="363" t="str">
        <f t="shared" ca="1" si="10"/>
        <v>Lower Distinctiveness Habitat - Good</v>
      </c>
      <c r="P93" s="417">
        <f>IF(B93="","",VLOOKUP(B93,'B-1 On-Site Hedge Baseline'!$B$10:T338,16,FALSE))</f>
        <v>0.21479999999999999</v>
      </c>
      <c r="Q93" s="362" t="str">
        <f>IF(M93="","",VLOOKUP(M93,'G-6 Hedgerow Data'!$B$2:$AG$15,2,FALSE))</f>
        <v>High</v>
      </c>
      <c r="R93" s="363">
        <f>IF(M93="","",VLOOKUP(M93,'G-6 Hedgerow Data'!$B$2:$AG$15,3,FALSE))</f>
        <v>6</v>
      </c>
      <c r="S93" s="125" t="s">
        <v>68</v>
      </c>
      <c r="T93" s="401">
        <f>IFERROR(VLOOKUP(S93,'G-1 All Habitats'!$Z$2:$AA$9,2,FALSE),"")</f>
        <v>3</v>
      </c>
      <c r="U93" s="122" t="s">
        <v>1037</v>
      </c>
      <c r="V93" s="382" t="str">
        <f>IF(U93="","",IF(VLOOKUP(U93,'G-3 Multipliers'!$L$3:$N$6,2,FALSE)=0,"Spatial Data Missing ⚠",VLOOKUP(U93,'G-3 Multipliers'!$L$3:$N$6,2,FALSE)))</f>
        <v>Low Strategic Significance</v>
      </c>
      <c r="W93" s="386">
        <f>IF(U93="","",IF(VLOOKUP(U93,'G-3 Multipliers'!$L$3:$N$6,3,FALSE)=0,"Spatial Data Missing ⚠",VLOOKUP(U93,'G-3 Multipliers'!$L$3:$N$6,3,FALSE)))</f>
        <v>1</v>
      </c>
      <c r="X93" s="362">
        <f ca="1">IFERROR(IF(OR(LEFT(O93,5)="Error",LEFT(N93,5)="Error",T93="Error"),"Check Data ⚠",IF(F93&lt;R93,INDEX('G-6 Hedgerow Data'!$S$3:$AE$14,MATCH(C93,'G-6 Hedgerow Data'!$B$3:$B$14,0),MATCH(M93,'G-6 Hedgerow Data'!$S$2:$AE$2,0)),INDEX('G-6 Hedgerow Data'!$K$3:$Q$14,MATCH(M93,'G-6 Hedgerow Data'!$B$3:$B$14,0),MATCH(O93,'G-6 Hedgerow Data'!$K$2:$Q$2,0)))),"")</f>
        <v>10</v>
      </c>
      <c r="Y93" s="159"/>
      <c r="Z93" s="159"/>
      <c r="AA93" s="370" t="str">
        <f t="shared" ca="1" si="11"/>
        <v>Standard time to target condition applied</v>
      </c>
      <c r="AB93" s="383">
        <f t="shared" ca="1" si="12"/>
        <v>10</v>
      </c>
      <c r="AC93" s="384">
        <f t="shared" ca="1" si="8"/>
        <v>0.70028227419999989</v>
      </c>
      <c r="AD93" s="398" t="str">
        <f>IF(M93="","",VLOOKUP(M93,'G-6 Hedgerow Data'!$B$3:$AG$15,31,FALSE))</f>
        <v>Low</v>
      </c>
      <c r="AE93" s="370" t="str">
        <f t="shared" ca="1" si="13"/>
        <v>Standard difficulty applied</v>
      </c>
      <c r="AF93" s="370" t="str">
        <f t="shared" ca="1" si="14"/>
        <v>Low</v>
      </c>
      <c r="AG93" s="386">
        <f ca="1">IFERROR(IF(O93="","",VLOOKUP(AD93,'G-3 Multipliers'!$P$3:$Q$6,2,FALSE)),"")</f>
        <v>1</v>
      </c>
      <c r="AH93" s="376">
        <f t="shared" ca="1" si="9"/>
        <v>3.4801237949889594</v>
      </c>
      <c r="AI93" s="188"/>
      <c r="AJ93" s="118"/>
      <c r="AK93" s="120"/>
      <c r="AT93" s="30" t="str">
        <f>IFERROR(INDEX('G-6 Hedgerow Data'!$BJ$3:$BJ$15,MATCH(M93,'G-6 Hedgerow Data'!$B$3:$B$15,0)),"")</f>
        <v>Hedgecond1</v>
      </c>
    </row>
    <row r="94" spans="2:46" ht="14.25" x14ac:dyDescent="0.2">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4.25" x14ac:dyDescent="0.2">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4.25" x14ac:dyDescent="0.2">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4.25" x14ac:dyDescent="0.2">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4.25" x14ac:dyDescent="0.2">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4.25" x14ac:dyDescent="0.2">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4.25" x14ac:dyDescent="0.2">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4.25" x14ac:dyDescent="0.2">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4.25" x14ac:dyDescent="0.2">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4.25" x14ac:dyDescent="0.2">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4.25" x14ac:dyDescent="0.2">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4.25" x14ac:dyDescent="0.2">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4.25" x14ac:dyDescent="0.2">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4.25" x14ac:dyDescent="0.2">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4.25" x14ac:dyDescent="0.2">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4.25" x14ac:dyDescent="0.2">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4.25" x14ac:dyDescent="0.2">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4.25" x14ac:dyDescent="0.2">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4.25" x14ac:dyDescent="0.2">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4.25" x14ac:dyDescent="0.2">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4.25" x14ac:dyDescent="0.2">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4.25" x14ac:dyDescent="0.2">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4.25" x14ac:dyDescent="0.2">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4.25" x14ac:dyDescent="0.2">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4.25" x14ac:dyDescent="0.2">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4.25" x14ac:dyDescent="0.2">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4.25" x14ac:dyDescent="0.2">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4.25" x14ac:dyDescent="0.2">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4.25" x14ac:dyDescent="0.2">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4.25" x14ac:dyDescent="0.2">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4.25" x14ac:dyDescent="0.2">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4.25" x14ac:dyDescent="0.2">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4.25" x14ac:dyDescent="0.2">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4.25" x14ac:dyDescent="0.2">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4.25" x14ac:dyDescent="0.2">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4.25" x14ac:dyDescent="0.2">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4.25" x14ac:dyDescent="0.2">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4.25" x14ac:dyDescent="0.2">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4.25" x14ac:dyDescent="0.2">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4.25" x14ac:dyDescent="0.2">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4.25" x14ac:dyDescent="0.2">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4.25" x14ac:dyDescent="0.2">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4.25" x14ac:dyDescent="0.2">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4.25" x14ac:dyDescent="0.2">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4.25" x14ac:dyDescent="0.2">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4.25" x14ac:dyDescent="0.2">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4.25" x14ac:dyDescent="0.2">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4.25" x14ac:dyDescent="0.2">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4.25" x14ac:dyDescent="0.2">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4.25" x14ac:dyDescent="0.2">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4.25" x14ac:dyDescent="0.2">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4.25" x14ac:dyDescent="0.2">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4.25" x14ac:dyDescent="0.2">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4.25" x14ac:dyDescent="0.2">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4.25" x14ac:dyDescent="0.2">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4.25" x14ac:dyDescent="0.2">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4.25" x14ac:dyDescent="0.2">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4.25" x14ac:dyDescent="0.2">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4.25" x14ac:dyDescent="0.2">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4.25" x14ac:dyDescent="0.2">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4.25" x14ac:dyDescent="0.2">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4.25" x14ac:dyDescent="0.2">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4.25" x14ac:dyDescent="0.2">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4.25" x14ac:dyDescent="0.2">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4.25" x14ac:dyDescent="0.2">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4.25" x14ac:dyDescent="0.2">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4.25" x14ac:dyDescent="0.2">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4.25" x14ac:dyDescent="0.2">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4.25" x14ac:dyDescent="0.2">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4.25" x14ac:dyDescent="0.2">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4.25" x14ac:dyDescent="0.2">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4.25" x14ac:dyDescent="0.2">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4.25" x14ac:dyDescent="0.2">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4.25" x14ac:dyDescent="0.2">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4.25" x14ac:dyDescent="0.2">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4.25" x14ac:dyDescent="0.2">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4.25" x14ac:dyDescent="0.2">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4.25" x14ac:dyDescent="0.2">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4.25" x14ac:dyDescent="0.2">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4.25" x14ac:dyDescent="0.2">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4.25" x14ac:dyDescent="0.2">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4.25" x14ac:dyDescent="0.2">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4.25" x14ac:dyDescent="0.2">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4.25" x14ac:dyDescent="0.2">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4.25" x14ac:dyDescent="0.2">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4.25" x14ac:dyDescent="0.2">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4.25" x14ac:dyDescent="0.2">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4.25" x14ac:dyDescent="0.2">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4.25" x14ac:dyDescent="0.2">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4.25" x14ac:dyDescent="0.2">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4.25" x14ac:dyDescent="0.2">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4.25" x14ac:dyDescent="0.2">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4.25" x14ac:dyDescent="0.2">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4.25" x14ac:dyDescent="0.2">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4.25" x14ac:dyDescent="0.2">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4.25" x14ac:dyDescent="0.2">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4.25" x14ac:dyDescent="0.2">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4.25" x14ac:dyDescent="0.2">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4.25" x14ac:dyDescent="0.2">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4.25" x14ac:dyDescent="0.2">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4.25" x14ac:dyDescent="0.2">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4.25" x14ac:dyDescent="0.2">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4.25" x14ac:dyDescent="0.2">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4.25" x14ac:dyDescent="0.2">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4.25" x14ac:dyDescent="0.2">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4.25" x14ac:dyDescent="0.2">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4.25" x14ac:dyDescent="0.2">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4.25" x14ac:dyDescent="0.2">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4.25" x14ac:dyDescent="0.2">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4.25" x14ac:dyDescent="0.2">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4.25" x14ac:dyDescent="0.2">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4.25" x14ac:dyDescent="0.2">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4.25" x14ac:dyDescent="0.2">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4.25" x14ac:dyDescent="0.2">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4.25" x14ac:dyDescent="0.2">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4.25" x14ac:dyDescent="0.2">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4.25" x14ac:dyDescent="0.2">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4.25" x14ac:dyDescent="0.2">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4.25" x14ac:dyDescent="0.2">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4.25" x14ac:dyDescent="0.2">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4.25" x14ac:dyDescent="0.2">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4.25" x14ac:dyDescent="0.2">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4.25" x14ac:dyDescent="0.2">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4.25" x14ac:dyDescent="0.2">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4.25" x14ac:dyDescent="0.2">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4.25" x14ac:dyDescent="0.2">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4.25" x14ac:dyDescent="0.2">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4.25" x14ac:dyDescent="0.2">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4.25" x14ac:dyDescent="0.2">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4.25" x14ac:dyDescent="0.2">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4.25" x14ac:dyDescent="0.2">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4.25" x14ac:dyDescent="0.2">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4.25" x14ac:dyDescent="0.2">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4.25" x14ac:dyDescent="0.2">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4.25" x14ac:dyDescent="0.2">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4.25" x14ac:dyDescent="0.2">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4.25" x14ac:dyDescent="0.2">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4.25" x14ac:dyDescent="0.2">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4.25" x14ac:dyDescent="0.2">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4.25" x14ac:dyDescent="0.2">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4.25" x14ac:dyDescent="0.2">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4.25" x14ac:dyDescent="0.2">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4.25" x14ac:dyDescent="0.2">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4.25" x14ac:dyDescent="0.2">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4.25" x14ac:dyDescent="0.2">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4.25" x14ac:dyDescent="0.2">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4.25" x14ac:dyDescent="0.2">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4.25" x14ac:dyDescent="0.2">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4.25" x14ac:dyDescent="0.2">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4.25" x14ac:dyDescent="0.2">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4.25" x14ac:dyDescent="0.2">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4.25" x14ac:dyDescent="0.2">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4.25" x14ac:dyDescent="0.2">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4.25" x14ac:dyDescent="0.2">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4.25" x14ac:dyDescent="0.2">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4.25" x14ac:dyDescent="0.2">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4.25" x14ac:dyDescent="0.2">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4.25" x14ac:dyDescent="0.2">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4.25" x14ac:dyDescent="0.2">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4.25" x14ac:dyDescent="0.2">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4.25" x14ac:dyDescent="0.2">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4.25" x14ac:dyDescent="0.2">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4.25" x14ac:dyDescent="0.2">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 thickBot="1" x14ac:dyDescent="0.25">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 thickBot="1" x14ac:dyDescent="0.25">
      <c r="B258" s="34"/>
      <c r="C258" s="34"/>
      <c r="D258" s="34"/>
      <c r="E258" s="34"/>
      <c r="F258" s="34"/>
      <c r="G258" s="34"/>
      <c r="H258" s="34"/>
      <c r="I258" s="34"/>
      <c r="J258" s="34"/>
      <c r="K258" s="34"/>
      <c r="L258" s="34"/>
      <c r="M258" s="34"/>
      <c r="N258" s="34"/>
      <c r="O258" s="322"/>
      <c r="P258" s="366">
        <f>SUM(P12:P257)</f>
        <v>21.122500000000006</v>
      </c>
      <c r="Q258" s="34"/>
      <c r="R258" s="34"/>
      <c r="S258" s="34"/>
      <c r="T258" s="34"/>
      <c r="U258" s="34"/>
      <c r="V258" s="34"/>
      <c r="W258" s="34"/>
      <c r="X258" s="34"/>
      <c r="Y258" s="34"/>
      <c r="Z258" s="34"/>
      <c r="AA258" s="34"/>
      <c r="AB258" s="34"/>
      <c r="AC258" s="34"/>
      <c r="AD258" s="34"/>
      <c r="AE258" s="34"/>
      <c r="AF258" s="321"/>
      <c r="AG258" s="321"/>
      <c r="AH258" s="366">
        <f ca="1">SUM(AH12:AH257)</f>
        <v>268.43063455161735</v>
      </c>
      <c r="AI258" s="34"/>
      <c r="AJ258" s="34"/>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AJxlOtNrksYCFewSc9QFwlzzBgfFH7STFRg7gAuIhk/rm2ZalTPxvv/0huRhsZzGklLC8Y8In1gl3pqg0pgeRg==" saltValue="UAntxBKk9JQ+J4nQ/Zt9m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 ref="AH10:AH11"/>
    <mergeCell ref="AI10:AJ10"/>
  </mergeCells>
  <conditionalFormatting sqref="L12:L257">
    <cfRule type="cellIs" dxfId="273" priority="30" operator="equal">
      <formula>"Same distinctiveness band or better"</formula>
    </cfRule>
    <cfRule type="cellIs" dxfId="272" priority="31" operator="equal">
      <formula>"Like for like or better"</formula>
    </cfRule>
    <cfRule type="cellIs" dxfId="271" priority="32" operator="equal">
      <formula>"Like for Like"</formula>
    </cfRule>
  </conditionalFormatting>
  <conditionalFormatting sqref="N12:O257">
    <cfRule type="beginsWith" dxfId="270" priority="28" operator="beginsWith" text="Error">
      <formula>LEFT(N12,LEN("Error"))="Error"</formula>
    </cfRule>
  </conditionalFormatting>
  <conditionalFormatting sqref="O3:O4">
    <cfRule type="containsText" dxfId="269" priority="1" operator="containsText" text="Error">
      <formula>NOT(ISERROR(SEARCH("Error",O3)))</formula>
    </cfRule>
    <cfRule type="containsText" dxfId="268" priority="2" operator="containsText" text="Check">
      <formula>NOT(ISERROR(SEARCH("Check",O3)))</formula>
    </cfRule>
  </conditionalFormatting>
  <conditionalFormatting sqref="O5">
    <cfRule type="containsText" dxfId="267" priority="6" operator="containsText" text="No">
      <formula>NOT(ISERROR(SEARCH("No",O5)))</formula>
    </cfRule>
    <cfRule type="containsText" dxfId="266" priority="7" operator="containsText" text="Yes">
      <formula>NOT(ISERROR(SEARCH("Yes",O5)))</formula>
    </cfRule>
  </conditionalFormatting>
  <conditionalFormatting sqref="O4:P4">
    <cfRule type="cellIs" dxfId="265" priority="3" operator="equal">
      <formula>0</formula>
    </cfRule>
    <cfRule type="cellIs" dxfId="264" priority="4" operator="lessThan">
      <formula>0</formula>
    </cfRule>
  </conditionalFormatting>
  <conditionalFormatting sqref="T12:T257">
    <cfRule type="containsText" dxfId="261" priority="5" operator="containsText" text="Not possible">
      <formula>NOT(ISERROR(SEARCH("Not possible",T12)))</formula>
    </cfRule>
  </conditionalFormatting>
  <conditionalFormatting sqref="V12:W257">
    <cfRule type="containsText" dxfId="260" priority="26" operator="containsText" text="Spatial">
      <formula>NOT(ISERROR(SEARCH("Spatial",V12)))</formula>
    </cfRule>
  </conditionalFormatting>
  <conditionalFormatting sqref="X2 X5:AB6">
    <cfRule type="containsText" dxfId="259" priority="15" operator="containsText" text="Note">
      <formula>NOT(ISERROR(SEARCH("Note",X2)))</formula>
    </cfRule>
  </conditionalFormatting>
  <conditionalFormatting sqref="X12:X257">
    <cfRule type="containsText" dxfId="258" priority="24" operator="containsText" text="Error">
      <formula>NOT(ISERROR(SEARCH("Error",X12)))</formula>
    </cfRule>
    <cfRule type="containsText" dxfId="257" priority="25" operator="containsText" text="Check">
      <formula>NOT(ISERROR(SEARCH("Check",X12)))</formula>
    </cfRule>
  </conditionalFormatting>
  <conditionalFormatting sqref="AA12:AC257">
    <cfRule type="containsText" dxfId="256" priority="18" operator="containsText" text="Error">
      <formula>NOT(ISERROR(SEARCH("Error",AA12)))</formula>
    </cfRule>
    <cfRule type="containsText" dxfId="255" priority="19" operator="containsText" text="Check">
      <formula>NOT(ISERROR(SEARCH("Check",AA12)))</formula>
    </cfRule>
  </conditionalFormatting>
  <conditionalFormatting sqref="AB12:AB257">
    <cfRule type="cellIs" dxfId="254" priority="14" operator="equal">
      <formula>"30+ ⚠"</formula>
    </cfRule>
  </conditionalFormatting>
  <conditionalFormatting sqref="AE12:AE257">
    <cfRule type="beginsWith" dxfId="253" priority="16" operator="beginsWith" text="No - Low Difficulty">
      <formula>LEFT(AE12,LEN("No - Low Difficulty"))="No - Low Difficulty"</formula>
    </cfRule>
    <cfRule type="containsText" dxfId="252" priority="17" operator="containsText" text="Check">
      <formula>NOT(ISERROR(SEARCH("Check",AE12)))</formula>
    </cfRule>
  </conditionalFormatting>
  <conditionalFormatting sqref="AH12:AH258">
    <cfRule type="containsText" dxfId="251" priority="33" operator="containsText" text="Existing Value Not Required">
      <formula>NOT(ISERROR(SEARCH("Existing Value Not Required",AH12)))</formula>
    </cfRule>
    <cfRule type="containsText" dxfId="250" priority="34" operator="containsText" text="Existing Value Required">
      <formula>NOT(ISERROR(SEARCH("Existing Value Required",AH12)))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7" operator="lessThan" id="{648A280C-F032-4F50-9520-A2A1C0C475E3}">
            <xm:f>Start!$F$22</xm:f>
            <x14:dxf>
              <font>
                <color rgb="FF383745"/>
              </font>
              <fill>
                <patternFill>
                  <bgColor rgb="FFFFC000"/>
                </patternFill>
              </fill>
            </x14:dxf>
          </x14:cfRule>
          <x14:cfRule type="cellIs" priority="438"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2578125" defaultRowHeight="0" customHeight="1" zeroHeight="1" x14ac:dyDescent="0.2"/>
  <cols>
    <col min="1" max="1" width="5" style="30" customWidth="1"/>
    <col min="2" max="2" width="11.42578125" style="30" customWidth="1"/>
    <col min="3" max="3" width="9.5703125" style="30" bestFit="1" customWidth="1"/>
    <col min="4" max="4" width="53.7109375" style="30" bestFit="1" customWidth="1"/>
    <col min="5" max="5" width="8.85546875" style="30" customWidth="1"/>
    <col min="6" max="6" width="17.5703125" style="30" customWidth="1"/>
    <col min="7" max="7" width="9.42578125" style="30" customWidth="1"/>
    <col min="8" max="8" width="13.85546875" style="30" customWidth="1"/>
    <col min="9" max="9" width="9" style="30" customWidth="1"/>
    <col min="10" max="10" width="41.7109375" style="30" customWidth="1"/>
    <col min="11" max="11" width="14.5703125" style="30" customWidth="1"/>
    <col min="12" max="12" width="13.5703125" style="30" customWidth="1"/>
    <col min="13" max="13" width="21.140625" style="30" bestFit="1" customWidth="1"/>
    <col min="14" max="14" width="14.140625" style="30" hidden="1" customWidth="1"/>
    <col min="15" max="15" width="76.85546875" style="30" customWidth="1"/>
    <col min="16" max="16" width="17.5703125" style="30" hidden="1" customWidth="1"/>
    <col min="17" max="17" width="13.140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140625" style="30" bestFit="1" customWidth="1"/>
    <col min="26" max="26" width="23.42578125" style="30" bestFit="1" customWidth="1"/>
    <col min="27" max="27" width="12.42578125" style="30" customWidth="1"/>
    <col min="28" max="28" width="12.85546875" style="30" customWidth="1"/>
    <col min="29" max="29" width="8.855468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x14ac:dyDescent="0.25"/>
    <row r="2" spans="2:51 16384:16384" ht="15.75" customHeight="1" thickBot="1" x14ac:dyDescent="0.3">
      <c r="B2" s="1551" t="str">
        <f>CONCATENATE("Project Name:", " ", Start!F12, "     ", "Map Reference:", " ", Start!F66)</f>
        <v xml:space="preserve">Project Name: Botley West Solar Farm     Map Reference: </v>
      </c>
      <c r="C2" s="1552"/>
      <c r="D2" s="1553"/>
      <c r="F2" s="1401" t="s">
        <v>381</v>
      </c>
      <c r="G2" s="1402"/>
      <c r="H2" s="1402"/>
      <c r="I2" s="1402"/>
      <c r="J2" s="1403"/>
      <c r="K2" s="309"/>
      <c r="L2" s="309"/>
      <c r="M2" s="309"/>
    </row>
    <row r="3" spans="2:51 16384:16384" ht="15.75" customHeight="1" x14ac:dyDescent="0.2">
      <c r="B3" s="1127" t="str">
        <f ca="1">MID(CELL("filename",A1),FIND("]",CELL("filename",A1))+1,256)</f>
        <v>E-1 Off-Site Hedge Baseline</v>
      </c>
      <c r="C3" s="1128"/>
      <c r="D3" s="1129"/>
      <c r="F3" s="1502" t="s">
        <v>264</v>
      </c>
      <c r="G3" s="1503"/>
      <c r="H3" s="1503"/>
      <c r="I3" s="1498">
        <f ca="1">'Headline Results'!H48</f>
        <v>332.1931023132538</v>
      </c>
      <c r="J3" s="1499"/>
    </row>
    <row r="4" spans="2:51 16384:16384" ht="15.75" customHeight="1" thickBot="1" x14ac:dyDescent="0.25">
      <c r="B4" s="1130"/>
      <c r="C4" s="1131"/>
      <c r="D4" s="1132"/>
      <c r="F4" s="1580" t="s">
        <v>266</v>
      </c>
      <c r="G4" s="1581"/>
      <c r="H4" s="1581"/>
      <c r="I4" s="1574">
        <f ca="1">'Headline Results'!H52</f>
        <v>0.59183226774872055</v>
      </c>
      <c r="J4" s="1575"/>
    </row>
    <row r="5" spans="2:51 16384:16384" ht="22.5" customHeight="1" thickBot="1" x14ac:dyDescent="0.25">
      <c r="F5" s="1579" t="s">
        <v>268</v>
      </c>
      <c r="G5" s="1576"/>
      <c r="H5" s="1576"/>
      <c r="I5" s="1576" t="str" cm="1">
        <f t="array" aca="1" ref="I5" ca="1">IF(OR('Trading Summary Hedgerows'!G5:H8="No ▲"), "No - check trading summary ▲", "Yes ✓")</f>
        <v>Yes ✓</v>
      </c>
      <c r="J5" s="1577"/>
    </row>
    <row r="6" spans="2:51 16384:16384" ht="28.9" customHeight="1" x14ac:dyDescent="0.2"/>
    <row r="7" spans="2:51 16384:16384" ht="15.75" customHeight="1" thickBot="1" x14ac:dyDescent="0.25">
      <c r="B7" s="102"/>
      <c r="C7" s="102"/>
      <c r="D7" s="101"/>
    </row>
    <row r="8" spans="2:51 16384:16384" s="33" customFormat="1" ht="30.95" customHeight="1" thickBot="1" x14ac:dyDescent="0.25">
      <c r="B8" s="32"/>
      <c r="C8" s="1570" t="s">
        <v>382</v>
      </c>
      <c r="D8" s="1571"/>
      <c r="E8" s="1572"/>
      <c r="F8" s="1570" t="s">
        <v>270</v>
      </c>
      <c r="G8" s="1572"/>
      <c r="H8" s="1570" t="s">
        <v>358</v>
      </c>
      <c r="I8" s="1572"/>
      <c r="J8" s="1570" t="s">
        <v>272</v>
      </c>
      <c r="K8" s="1571"/>
      <c r="L8" s="1572"/>
      <c r="M8" s="1534" t="s">
        <v>273</v>
      </c>
      <c r="N8" s="134" t="s">
        <v>274</v>
      </c>
      <c r="O8" s="1532" t="s">
        <v>359</v>
      </c>
      <c r="P8" s="1533"/>
      <c r="Q8" s="134" t="s">
        <v>274</v>
      </c>
      <c r="R8" s="107"/>
      <c r="S8" s="1404" t="s">
        <v>275</v>
      </c>
      <c r="T8" s="1405"/>
      <c r="U8" s="1405"/>
      <c r="V8" s="1405"/>
      <c r="W8" s="1405"/>
      <c r="X8" s="1406"/>
      <c r="Y8" s="1404" t="s">
        <v>277</v>
      </c>
      <c r="Z8" s="1406"/>
      <c r="XFD8" s="543"/>
    </row>
    <row r="9" spans="2:51 16384:16384" ht="45" customHeight="1" thickBot="1" x14ac:dyDescent="0.25">
      <c r="B9" s="719" t="s">
        <v>340</v>
      </c>
      <c r="C9" s="132" t="s">
        <v>383</v>
      </c>
      <c r="D9" s="811" t="s">
        <v>161</v>
      </c>
      <c r="E9" s="752" t="s">
        <v>34</v>
      </c>
      <c r="F9" s="132" t="s">
        <v>270</v>
      </c>
      <c r="G9" s="752" t="s">
        <v>287</v>
      </c>
      <c r="H9" s="132" t="s">
        <v>271</v>
      </c>
      <c r="I9" s="752" t="s">
        <v>287</v>
      </c>
      <c r="J9" s="132" t="s">
        <v>272</v>
      </c>
      <c r="K9" s="811" t="s">
        <v>272</v>
      </c>
      <c r="L9" s="752" t="s">
        <v>318</v>
      </c>
      <c r="M9" s="1567"/>
      <c r="N9" s="169" t="s">
        <v>401</v>
      </c>
      <c r="O9" s="853" t="s">
        <v>362</v>
      </c>
      <c r="P9" s="866" t="s">
        <v>359</v>
      </c>
      <c r="Q9" s="169" t="s">
        <v>384</v>
      </c>
      <c r="R9" s="107"/>
      <c r="S9" s="867" t="s">
        <v>385</v>
      </c>
      <c r="T9" s="868" t="s">
        <v>386</v>
      </c>
      <c r="U9" s="869" t="s">
        <v>387</v>
      </c>
      <c r="V9" s="869" t="s">
        <v>388</v>
      </c>
      <c r="W9" s="869" t="s">
        <v>389</v>
      </c>
      <c r="X9" s="870" t="s">
        <v>295</v>
      </c>
      <c r="Y9" s="867" t="s">
        <v>296</v>
      </c>
      <c r="Z9" s="870" t="s">
        <v>297</v>
      </c>
      <c r="AA9" s="43" t="s">
        <v>298</v>
      </c>
      <c r="AB9" s="43" t="s">
        <v>364</v>
      </c>
      <c r="AE9" s="101" t="s">
        <v>281</v>
      </c>
      <c r="AH9" s="124" t="s">
        <v>301</v>
      </c>
      <c r="AI9" s="124" t="s">
        <v>302</v>
      </c>
      <c r="AK9" s="124" t="s">
        <v>304</v>
      </c>
      <c r="AM9" s="124" t="s">
        <v>301</v>
      </c>
      <c r="AN9" s="124" t="s">
        <v>302</v>
      </c>
      <c r="AY9" s="869" t="s">
        <v>387</v>
      </c>
    </row>
    <row r="10" spans="2:51 16384:16384" ht="14.25" x14ac:dyDescent="0.2">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4.25" x14ac:dyDescent="0.2">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4.25" x14ac:dyDescent="0.2">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4.25" x14ac:dyDescent="0.2">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4.25" x14ac:dyDescent="0.2">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4.25" x14ac:dyDescent="0.2">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4.25" x14ac:dyDescent="0.2">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4.25" x14ac:dyDescent="0.2">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4.25" x14ac:dyDescent="0.2">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4.25" x14ac:dyDescent="0.2">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4.25" x14ac:dyDescent="0.2">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4.25" x14ac:dyDescent="0.2">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4.25" x14ac:dyDescent="0.2">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4.25" x14ac:dyDescent="0.2">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4.25" x14ac:dyDescent="0.2">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4.25" x14ac:dyDescent="0.2">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4.25" x14ac:dyDescent="0.2">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4.25" x14ac:dyDescent="0.2">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4.25" x14ac:dyDescent="0.2">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4.25" x14ac:dyDescent="0.2">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4.25" x14ac:dyDescent="0.2">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4.25" x14ac:dyDescent="0.2">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4.25" x14ac:dyDescent="0.2">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4.25" x14ac:dyDescent="0.2">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4.25" x14ac:dyDescent="0.2">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4.25" x14ac:dyDescent="0.2">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4.25" x14ac:dyDescent="0.2">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4.25" x14ac:dyDescent="0.2">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4.25" x14ac:dyDescent="0.2">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4.25" x14ac:dyDescent="0.2">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4.25" x14ac:dyDescent="0.2">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4.25" x14ac:dyDescent="0.2">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4.25" x14ac:dyDescent="0.2">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4.25" x14ac:dyDescent="0.2">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4.25" x14ac:dyDescent="0.2">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4.25" x14ac:dyDescent="0.2">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4.25" x14ac:dyDescent="0.2">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4.25" x14ac:dyDescent="0.2">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4.25" x14ac:dyDescent="0.2">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4.25" x14ac:dyDescent="0.2">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4.25" x14ac:dyDescent="0.2">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4.25" x14ac:dyDescent="0.2">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4.25" x14ac:dyDescent="0.2">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4.25" x14ac:dyDescent="0.2">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4.25" x14ac:dyDescent="0.2">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4.25" x14ac:dyDescent="0.2">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4.25" x14ac:dyDescent="0.2">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4.25" x14ac:dyDescent="0.2">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4.25" x14ac:dyDescent="0.2">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4.25" x14ac:dyDescent="0.2">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4.25" x14ac:dyDescent="0.2">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4.25" x14ac:dyDescent="0.2">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4.25" x14ac:dyDescent="0.2">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4.25" x14ac:dyDescent="0.2">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4.25" x14ac:dyDescent="0.2">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4.25" x14ac:dyDescent="0.2">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4.25" x14ac:dyDescent="0.2">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4.25" x14ac:dyDescent="0.2">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4.25" x14ac:dyDescent="0.2">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4.25" x14ac:dyDescent="0.2">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4.25" x14ac:dyDescent="0.2">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4.25" x14ac:dyDescent="0.2">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4.25" x14ac:dyDescent="0.2">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4.25" x14ac:dyDescent="0.2">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4.25" x14ac:dyDescent="0.2">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4.25" x14ac:dyDescent="0.2">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4.25" x14ac:dyDescent="0.2">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4.25" x14ac:dyDescent="0.2">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4.25" x14ac:dyDescent="0.2">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4.25" x14ac:dyDescent="0.2">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4.25" x14ac:dyDescent="0.2">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4.25" x14ac:dyDescent="0.2">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4.25" x14ac:dyDescent="0.2">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4.25" x14ac:dyDescent="0.2">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4.25" x14ac:dyDescent="0.2">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4.25" x14ac:dyDescent="0.2">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4.25" x14ac:dyDescent="0.2">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4.25" x14ac:dyDescent="0.2">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4.25" x14ac:dyDescent="0.2">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4.25" x14ac:dyDescent="0.2">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4.25" x14ac:dyDescent="0.2">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4.25" x14ac:dyDescent="0.2">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4.25" x14ac:dyDescent="0.2">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4.25" x14ac:dyDescent="0.2">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4.25" x14ac:dyDescent="0.2">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4.25" x14ac:dyDescent="0.2">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4.25" x14ac:dyDescent="0.2">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4.25" x14ac:dyDescent="0.2">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4.25" x14ac:dyDescent="0.2">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4.25" x14ac:dyDescent="0.2">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4.25" x14ac:dyDescent="0.2">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4.25" x14ac:dyDescent="0.2">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4.25" x14ac:dyDescent="0.2">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4.25" x14ac:dyDescent="0.2">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4.25" x14ac:dyDescent="0.2">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4.25" x14ac:dyDescent="0.2">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4.25" x14ac:dyDescent="0.2">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4.25" x14ac:dyDescent="0.2">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4.25" x14ac:dyDescent="0.2">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4.25" x14ac:dyDescent="0.2">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4.25" x14ac:dyDescent="0.2">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4.25" x14ac:dyDescent="0.2">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4.25" x14ac:dyDescent="0.2">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4.25" x14ac:dyDescent="0.2">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4.25" x14ac:dyDescent="0.2">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4.25" x14ac:dyDescent="0.2">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4.25" x14ac:dyDescent="0.2">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4.25" x14ac:dyDescent="0.2">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4.25" x14ac:dyDescent="0.2">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4.25" x14ac:dyDescent="0.2">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4.25" x14ac:dyDescent="0.2">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4.25" x14ac:dyDescent="0.2">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4.25" x14ac:dyDescent="0.2">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4.25" x14ac:dyDescent="0.2">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4.25" x14ac:dyDescent="0.2">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4.25" x14ac:dyDescent="0.2">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4.25" x14ac:dyDescent="0.2">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4.25" x14ac:dyDescent="0.2">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4.25" x14ac:dyDescent="0.2">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4.25" x14ac:dyDescent="0.2">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4.25" x14ac:dyDescent="0.2">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4.25" x14ac:dyDescent="0.2">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4.25" x14ac:dyDescent="0.2">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4.25" x14ac:dyDescent="0.2">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4.25" x14ac:dyDescent="0.2">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4.25" x14ac:dyDescent="0.2">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4.25" x14ac:dyDescent="0.2">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4.25" x14ac:dyDescent="0.2">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4.25" x14ac:dyDescent="0.2">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4.25" x14ac:dyDescent="0.2">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4.25" x14ac:dyDescent="0.2">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4.25" x14ac:dyDescent="0.2">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4.25" x14ac:dyDescent="0.2">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4.25" x14ac:dyDescent="0.2">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4.25" x14ac:dyDescent="0.2">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4.25" x14ac:dyDescent="0.2">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4.25" x14ac:dyDescent="0.2">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4.25" x14ac:dyDescent="0.2">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4.25" x14ac:dyDescent="0.2">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4.25" x14ac:dyDescent="0.2">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4.25" x14ac:dyDescent="0.2">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4.25" x14ac:dyDescent="0.2">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4.25" x14ac:dyDescent="0.2">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4.25" x14ac:dyDescent="0.2">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4.25" x14ac:dyDescent="0.2">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4.25" x14ac:dyDescent="0.2">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4.25" x14ac:dyDescent="0.2">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4.25" x14ac:dyDescent="0.2">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4.25" x14ac:dyDescent="0.2">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4.25" x14ac:dyDescent="0.2">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4.25" x14ac:dyDescent="0.2">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4.25" x14ac:dyDescent="0.2">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4.25" x14ac:dyDescent="0.2">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4.25" x14ac:dyDescent="0.2">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4.25" x14ac:dyDescent="0.2">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4.25" x14ac:dyDescent="0.2">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4.25" x14ac:dyDescent="0.2">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4.25" x14ac:dyDescent="0.2">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4.25" x14ac:dyDescent="0.2">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4.25" x14ac:dyDescent="0.2">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4.25" x14ac:dyDescent="0.2">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4.25" x14ac:dyDescent="0.2">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4.25" x14ac:dyDescent="0.2">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4.25" x14ac:dyDescent="0.2">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4.25" x14ac:dyDescent="0.2">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4.25" x14ac:dyDescent="0.2">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4.25" x14ac:dyDescent="0.2">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4.25" x14ac:dyDescent="0.2">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4.25" x14ac:dyDescent="0.2">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4.25" x14ac:dyDescent="0.2">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4.25" x14ac:dyDescent="0.2">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4.25" x14ac:dyDescent="0.2">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4.25" x14ac:dyDescent="0.2">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4.25" x14ac:dyDescent="0.2">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4.25" x14ac:dyDescent="0.2">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4.25" x14ac:dyDescent="0.2">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4.25" x14ac:dyDescent="0.2">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4.25" x14ac:dyDescent="0.2">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4.25" x14ac:dyDescent="0.2">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4.25" x14ac:dyDescent="0.2">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4.25" x14ac:dyDescent="0.2">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4.25" x14ac:dyDescent="0.2">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4.25" x14ac:dyDescent="0.2">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4.25" x14ac:dyDescent="0.2">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4.25" x14ac:dyDescent="0.2">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4.25" x14ac:dyDescent="0.2">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4.25" x14ac:dyDescent="0.2">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4.25" x14ac:dyDescent="0.2">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4.25" x14ac:dyDescent="0.2">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4.25" x14ac:dyDescent="0.2">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4.25" x14ac:dyDescent="0.2">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4.25" x14ac:dyDescent="0.2">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4.25" x14ac:dyDescent="0.2">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4.25" x14ac:dyDescent="0.2">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4.25" x14ac:dyDescent="0.2">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4.25" x14ac:dyDescent="0.2">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4.25" x14ac:dyDescent="0.2">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4.25" x14ac:dyDescent="0.2">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4.25" x14ac:dyDescent="0.2">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4.25" x14ac:dyDescent="0.2">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4.25" x14ac:dyDescent="0.2">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4.25" x14ac:dyDescent="0.2">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4.25" x14ac:dyDescent="0.2">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4.25" x14ac:dyDescent="0.2">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4.25" x14ac:dyDescent="0.2">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4.25" x14ac:dyDescent="0.2">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4.25" x14ac:dyDescent="0.2">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4.25" x14ac:dyDescent="0.2">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4.25" x14ac:dyDescent="0.2">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4.25" x14ac:dyDescent="0.2">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4.25" x14ac:dyDescent="0.2">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4.25" x14ac:dyDescent="0.2">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4.25" x14ac:dyDescent="0.2">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4.25" x14ac:dyDescent="0.2">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4.25" x14ac:dyDescent="0.2">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4.25" x14ac:dyDescent="0.2">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4.25" x14ac:dyDescent="0.2">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4.25" x14ac:dyDescent="0.2">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4.25" x14ac:dyDescent="0.2">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4.25" x14ac:dyDescent="0.2">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4.25" x14ac:dyDescent="0.2">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4.25" x14ac:dyDescent="0.2">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4.25" x14ac:dyDescent="0.2">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4.25" x14ac:dyDescent="0.2">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4.25" x14ac:dyDescent="0.2">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4.25" x14ac:dyDescent="0.2">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4.25" x14ac:dyDescent="0.2">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4.25" x14ac:dyDescent="0.2">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4.25" x14ac:dyDescent="0.2">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4.25" x14ac:dyDescent="0.2">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4.25" x14ac:dyDescent="0.2">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4.25" x14ac:dyDescent="0.2">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4.25" x14ac:dyDescent="0.2">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4.25" x14ac:dyDescent="0.2">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4.25" x14ac:dyDescent="0.2">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4.25" x14ac:dyDescent="0.2">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4.25" x14ac:dyDescent="0.2">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4.25" x14ac:dyDescent="0.2">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4.25" x14ac:dyDescent="0.2">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4.25" x14ac:dyDescent="0.2">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4.25" x14ac:dyDescent="0.2">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4.25" x14ac:dyDescent="0.2">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4.25" x14ac:dyDescent="0.2">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4.25" x14ac:dyDescent="0.2">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4.25" x14ac:dyDescent="0.2">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4.25" x14ac:dyDescent="0.2">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4.25" x14ac:dyDescent="0.2">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 thickBot="1" x14ac:dyDescent="0.25">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 thickBot="1" x14ac:dyDescent="0.25">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4.25" x14ac:dyDescent="0.2">
      <c r="R259" s="133"/>
      <c r="S259" s="133"/>
      <c r="T259" s="133"/>
      <c r="U259" s="133"/>
      <c r="V259" s="133"/>
      <c r="W259" s="133"/>
      <c r="X259" s="133"/>
      <c r="AY259" s="133"/>
    </row>
    <row r="260" spans="2:51" ht="14.25" x14ac:dyDescent="0.2">
      <c r="B260" s="102"/>
      <c r="C260" s="102"/>
    </row>
    <row r="261" spans="2:51" ht="14.25" x14ac:dyDescent="0.2">
      <c r="B261" s="102"/>
      <c r="C261" s="102"/>
    </row>
    <row r="262" spans="2:51" ht="14.25" x14ac:dyDescent="0.2">
      <c r="B262" s="102"/>
      <c r="C262" s="102"/>
    </row>
    <row r="263" spans="2:51" ht="14.25" x14ac:dyDescent="0.2">
      <c r="B263" s="102"/>
      <c r="C263" s="102"/>
    </row>
    <row r="264" spans="2:51" ht="14.25" x14ac:dyDescent="0.2">
      <c r="B264" s="102"/>
      <c r="C264" s="102"/>
    </row>
    <row r="265" spans="2:51" ht="14.25" x14ac:dyDescent="0.2">
      <c r="B265" s="102"/>
      <c r="C265" s="102"/>
    </row>
    <row r="266" spans="2:51" ht="14.25" x14ac:dyDescent="0.2">
      <c r="B266" s="102"/>
      <c r="C266" s="102"/>
    </row>
    <row r="267" spans="2:51" ht="14.25" hidden="1" x14ac:dyDescent="0.2">
      <c r="B267" s="102"/>
      <c r="C267" s="102"/>
    </row>
    <row r="268" spans="2:51" ht="14.25" hidden="1" x14ac:dyDescent="0.2">
      <c r="B268" s="102"/>
      <c r="C268" s="102"/>
    </row>
    <row r="269" spans="2:51" ht="14.25" hidden="1" x14ac:dyDescent="0.2">
      <c r="B269" s="102"/>
      <c r="C269" s="102"/>
    </row>
    <row r="270" spans="2:51" ht="14.25" hidden="1" x14ac:dyDescent="0.2">
      <c r="B270" s="102"/>
      <c r="C270" s="102"/>
    </row>
    <row r="271" spans="2:51" ht="14.25" hidden="1" x14ac:dyDescent="0.2">
      <c r="B271" s="102"/>
      <c r="C271" s="102"/>
    </row>
    <row r="272" spans="2:51" ht="14.25" hidden="1" x14ac:dyDescent="0.2">
      <c r="B272" s="102"/>
      <c r="C272" s="102"/>
    </row>
  </sheetData>
  <sheetProtection algorithmName="SHA-512" hashValue="gCRoc8uH8T4DLNXZ+cMFMgj2dBHrsDE3a2IgXhxCe7/53NfiDIKaYN+DUyh5vlkoqXL5bhuN7iokiHuu7pauUQ==" saltValue="WZa6ddzlg5C1l6JIbGhjQA=="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I5:J5"/>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s>
  <conditionalFormatting sqref="I3:I4">
    <cfRule type="containsText" dxfId="249" priority="3" operator="containsText" text="Error">
      <formula>NOT(ISERROR(SEARCH("Error",I3)))</formula>
    </cfRule>
    <cfRule type="containsText" dxfId="248" priority="4" operator="containsText" text="Check">
      <formula>NOT(ISERROR(SEARCH("Check",I3)))</formula>
    </cfRule>
  </conditionalFormatting>
  <conditionalFormatting sqref="I5">
    <cfRule type="containsText" dxfId="247" priority="29" operator="containsText" text="No">
      <formula>NOT(ISERROR(SEARCH("No",I5)))</formula>
    </cfRule>
    <cfRule type="containsText" dxfId="246" priority="30" operator="containsText" text="Yes">
      <formula>NOT(ISERROR(SEARCH("Yes",I5)))</formula>
    </cfRule>
  </conditionalFormatting>
  <conditionalFormatting sqref="I10:I257">
    <cfRule type="containsText" dxfId="245" priority="7" operator="containsText" text="Not possible">
      <formula>NOT(ISERROR(SEARCH("Not possible",I10)))</formula>
    </cfRule>
    <cfRule type="containsText" dxfId="244" priority="42" operator="containsText" text="Error">
      <formula>NOT(ISERROR(SEARCH("Error",I10)))</formula>
    </cfRule>
  </conditionalFormatting>
  <conditionalFormatting sqref="I4:J4">
    <cfRule type="cellIs" dxfId="243" priority="2" operator="equal">
      <formula>0</formula>
    </cfRule>
    <cfRule type="cellIs" dxfId="242" priority="5" operator="lessThan">
      <formula>0</formula>
    </cfRule>
  </conditionalFormatting>
  <conditionalFormatting sqref="J9:L9 K10:L35 J36:L257">
    <cfRule type="containsText" dxfId="239" priority="41" operator="containsText" text="Spatial">
      <formula>NOT(ISERROR(SEARCH("Spatial",J9)))</formula>
    </cfRule>
  </conditionalFormatting>
  <conditionalFormatting sqref="M10:M257">
    <cfRule type="cellIs" dxfId="238" priority="38" operator="equal">
      <formula>"Like for like or better"</formula>
    </cfRule>
    <cfRule type="cellIs" dxfId="237" priority="39" operator="equal">
      <formula>"Like for like"</formula>
    </cfRule>
    <cfRule type="containsText" dxfId="236" priority="40" operator="containsText" text="Same distinctiveness">
      <formula>NOT(ISERROR(SEARCH("Same distinctiveness",M10)))</formula>
    </cfRule>
  </conditionalFormatting>
  <conditionalFormatting sqref="O10:O257">
    <cfRule type="containsText" dxfId="235" priority="27" operator="containsText" text="Existing Value Not Required">
      <formula>NOT(ISERROR(SEARCH("Existing Value Not Required",O10)))</formula>
    </cfRule>
    <cfRule type="containsText" dxfId="234" priority="28" operator="containsText" text="Existing Value Required">
      <formula>NOT(ISERROR(SEARCH("Existing Value Required",O10)))</formula>
    </cfRule>
  </conditionalFormatting>
  <conditionalFormatting sqref="O10:P10 P11:P255 O11:O257">
    <cfRule type="containsText" dxfId="233" priority="23" operator="containsText" text="Check">
      <formula>NOT(ISERROR(SEARCH("Check",O10)))</formula>
    </cfRule>
    <cfRule type="containsText" dxfId="232" priority="24" operator="containsText" text="Error">
      <formula>NOT(ISERROR(SEARCH("Error",O10)))</formula>
    </cfRule>
  </conditionalFormatting>
  <conditionalFormatting sqref="P10:P257">
    <cfRule type="containsText" dxfId="231" priority="8" operator="containsText" text="Spatial">
      <formula>NOT(ISERROR(SEARCH("Spatial",P10)))</formula>
    </cfRule>
  </conditionalFormatting>
  <conditionalFormatting sqref="P256:P257">
    <cfRule type="containsText" dxfId="230" priority="9" operator="containsText" text="Check">
      <formula>NOT(ISERROR(SEARCH("Check",P256)))</formula>
    </cfRule>
    <cfRule type="containsText" dxfId="229" priority="10" operator="containsText" text="Error">
      <formula>NOT(ISERROR(SEARCH("Error",P256)))</formula>
    </cfRule>
  </conditionalFormatting>
  <conditionalFormatting sqref="U258:V258">
    <cfRule type="containsText" dxfId="228" priority="6" operator="containsText" text="Error">
      <formula>NOT(ISERROR(SEARCH("Error",U258)))</formula>
    </cfRule>
  </conditionalFormatting>
  <conditionalFormatting sqref="W10:X257">
    <cfRule type="containsText" dxfId="227" priority="37" operator="containsText" text="Error">
      <formula>NOT(ISERROR(SEARCH("Error",W10)))</formula>
    </cfRule>
  </conditionalFormatting>
  <conditionalFormatting sqref="AY258">
    <cfRule type="containsText" dxfId="226" priority="1" operator="containsText" text="Error">
      <formula>NOT(ISERROR(SEARCH("Error",AY258)))</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0" operator="lessThan" id="{800F3E3C-3EA1-44B0-B5B6-6ED146EB03B0}">
            <xm:f>Start!$F$22</xm:f>
            <x14:dxf>
              <font>
                <color rgb="FF383745"/>
              </font>
              <fill>
                <patternFill>
                  <bgColor rgb="FFFFC000"/>
                </patternFill>
              </fill>
            </x14:dxf>
          </x14:cfRule>
          <x14:cfRule type="cellIs" priority="441"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
  <cols>
    <col min="1" max="1" width="2.85546875" style="30" customWidth="1"/>
    <col min="2" max="2" width="11.28515625" style="30" customWidth="1"/>
    <col min="3" max="3" width="9.28515625" style="30" customWidth="1"/>
    <col min="4" max="4" width="60.7109375" style="30" customWidth="1"/>
    <col min="5" max="5" width="10.28515625" style="30" customWidth="1"/>
    <col min="6" max="6" width="19.140625" style="30" customWidth="1"/>
    <col min="7" max="7" width="11.85546875" style="30" customWidth="1"/>
    <col min="8" max="8" width="11.5703125" style="30" customWidth="1"/>
    <col min="9" max="9" width="12.5703125" style="30" customWidth="1"/>
    <col min="10" max="10" width="41.7109375" style="30" customWidth="1"/>
    <col min="11" max="11" width="21.140625" style="30" customWidth="1"/>
    <col min="12" max="12" width="12.28515625" style="30" customWidth="1"/>
    <col min="13" max="13" width="73.42578125" style="30" customWidth="1"/>
    <col min="14" max="14" width="8.140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140625" style="30" hidden="1" customWidth="1"/>
    <col min="26" max="26" width="12.7109375" style="30" customWidth="1"/>
    <col min="27" max="28" width="42.5703125" style="30" customWidth="1"/>
    <col min="29" max="29" width="14.85546875" style="30" customWidth="1"/>
    <col min="30" max="30" width="14" style="30" customWidth="1"/>
    <col min="31" max="31" width="8.85546875" style="30" customWidth="1"/>
    <col min="32" max="32" width="10.5703125" style="30" customWidth="1"/>
    <col min="33" max="33" width="10.5703125" style="30" hidden="1" customWidth="1"/>
    <col min="34" max="34" width="15.85546875" style="30" hidden="1" customWidth="1"/>
    <col min="35" max="35" width="8.85546875" style="30" hidden="1" customWidth="1"/>
    <col min="36" max="16384" width="8.85546875" style="30" hidden="1"/>
  </cols>
  <sheetData>
    <row r="1" spans="2:34" ht="15.75" customHeight="1" thickBot="1" x14ac:dyDescent="0.25"/>
    <row r="2" spans="2:34" ht="15.75" customHeight="1" thickBot="1" x14ac:dyDescent="0.3">
      <c r="B2" s="1551" t="str">
        <f>CONCATENATE("Project Name:", " ", Start!F12, "     ", "Map Reference:", " ", Start!K66)</f>
        <v xml:space="preserve">Project Name: Botley West Solar Farm     Map Reference: </v>
      </c>
      <c r="C2" s="1552"/>
      <c r="D2" s="1552"/>
      <c r="E2" s="1553"/>
      <c r="I2" s="309"/>
      <c r="J2" s="1401" t="s">
        <v>381</v>
      </c>
      <c r="K2" s="1402"/>
      <c r="L2" s="1402"/>
      <c r="M2" s="1403"/>
      <c r="O2" s="1460" t="str">
        <f>IF(OR(COUNTIF($O$12:O259,"*30+*")&gt;0,COUNTIF($S$12:S259,"*30+*")&gt;0),"Note; Habitat selected has a time to target condition greater than 30 years. Non standard agreement may be required. ⚠","")</f>
        <v/>
      </c>
      <c r="P2" s="1460"/>
      <c r="Q2" s="1460"/>
      <c r="R2" s="1460"/>
      <c r="S2" s="1460"/>
      <c r="T2" s="1460"/>
    </row>
    <row r="3" spans="2:34" ht="15.75" customHeight="1" thickBot="1" x14ac:dyDescent="0.25">
      <c r="B3" s="1554" t="str">
        <f ca="1">MID(CELL("filename",A1),FIND("]",CELL("filename",A1))+1,256)</f>
        <v>E-2 Off-Site Hedge Creation</v>
      </c>
      <c r="C3" s="1555"/>
      <c r="D3" s="1555"/>
      <c r="E3" s="1556"/>
      <c r="I3" s="509"/>
      <c r="J3" s="1502" t="s">
        <v>264</v>
      </c>
      <c r="K3" s="1503"/>
      <c r="L3" s="1503"/>
      <c r="M3" s="512">
        <f ca="1">'Headline Results'!H48</f>
        <v>332.1931023132538</v>
      </c>
      <c r="O3" s="1460"/>
      <c r="P3" s="1460"/>
      <c r="Q3" s="1460"/>
      <c r="R3" s="1460"/>
      <c r="S3" s="1460"/>
      <c r="T3" s="1460"/>
    </row>
    <row r="4" spans="2:34" ht="15.75" customHeight="1" thickBot="1" x14ac:dyDescent="0.25">
      <c r="B4" s="1554"/>
      <c r="C4" s="1555"/>
      <c r="D4" s="1555"/>
      <c r="E4" s="1556"/>
      <c r="I4" s="509"/>
      <c r="J4" s="1580" t="s">
        <v>266</v>
      </c>
      <c r="K4" s="1581"/>
      <c r="L4" s="1581"/>
      <c r="M4" s="513">
        <f ca="1">'Headline Results'!H52</f>
        <v>0.59183226774872055</v>
      </c>
      <c r="O4" s="1460"/>
      <c r="P4" s="1460"/>
      <c r="Q4" s="1460"/>
      <c r="R4" s="1460"/>
      <c r="S4" s="1460"/>
      <c r="T4" s="1460"/>
    </row>
    <row r="5" spans="2:34" ht="15.75" customHeight="1" thickBot="1" x14ac:dyDescent="0.25">
      <c r="J5" s="1579" t="s">
        <v>268</v>
      </c>
      <c r="K5" s="1576"/>
      <c r="L5" s="1576"/>
      <c r="M5" s="504" t="str" cm="1">
        <f t="array" aca="1" ref="M5" ca="1">IF(OR('Trading Summary Hedgerows'!G5:H8="No ▲"), "No - check trading summary ▲", "Yes ✓")</f>
        <v>Yes ✓</v>
      </c>
      <c r="N5" s="509"/>
      <c r="O5" s="1460"/>
      <c r="P5" s="1460"/>
      <c r="Q5" s="1460"/>
      <c r="R5" s="1460"/>
      <c r="S5" s="1460"/>
      <c r="T5" s="1460"/>
    </row>
    <row r="6" spans="2:34" ht="15.75" customHeight="1" x14ac:dyDescent="0.2">
      <c r="O6" s="312"/>
      <c r="P6" s="312"/>
      <c r="Q6" s="312"/>
      <c r="R6" s="312"/>
      <c r="S6" s="312"/>
    </row>
    <row r="7" spans="2:34" ht="15.75" customHeight="1" x14ac:dyDescent="0.2">
      <c r="B7" s="102"/>
      <c r="C7" s="102"/>
    </row>
    <row r="8" spans="2:34" ht="14.25" x14ac:dyDescent="0.2">
      <c r="J8" s="101"/>
      <c r="K8" s="101"/>
      <c r="L8" s="101"/>
      <c r="M8" s="101"/>
      <c r="N8" s="101"/>
      <c r="O8" s="101"/>
      <c r="P8" s="101"/>
      <c r="Q8" s="101"/>
      <c r="R8" s="101"/>
      <c r="S8" s="101"/>
      <c r="T8" s="101"/>
      <c r="V8" s="101"/>
      <c r="W8" s="101"/>
      <c r="X8" s="101"/>
    </row>
    <row r="9" spans="2:34" ht="15.75" customHeight="1" thickBot="1" x14ac:dyDescent="0.25">
      <c r="J9" s="101"/>
      <c r="K9" s="101"/>
      <c r="L9" s="101"/>
      <c r="M9" s="107"/>
      <c r="N9" s="107"/>
      <c r="O9" s="163"/>
      <c r="P9" s="163"/>
      <c r="Q9" s="163"/>
      <c r="R9" s="163"/>
      <c r="S9" s="163"/>
      <c r="T9" s="163"/>
      <c r="U9" s="163"/>
      <c r="V9" s="163"/>
      <c r="W9" s="163"/>
      <c r="X9" s="163"/>
    </row>
    <row r="10" spans="2:34" s="33" customFormat="1" ht="39.950000000000003" customHeight="1" thickBot="1" x14ac:dyDescent="0.25">
      <c r="B10" s="32"/>
      <c r="C10" s="32"/>
      <c r="D10" s="1570" t="s">
        <v>390</v>
      </c>
      <c r="E10" s="1572"/>
      <c r="F10" s="1312" t="s">
        <v>270</v>
      </c>
      <c r="G10" s="1314"/>
      <c r="H10" s="1314" t="s">
        <v>358</v>
      </c>
      <c r="I10" s="1310"/>
      <c r="J10" s="1570" t="s">
        <v>272</v>
      </c>
      <c r="K10" s="1571"/>
      <c r="L10" s="1572"/>
      <c r="M10" s="1312" t="s">
        <v>359</v>
      </c>
      <c r="N10" s="1314"/>
      <c r="O10" s="1314" t="s">
        <v>315</v>
      </c>
      <c r="P10" s="1314"/>
      <c r="Q10" s="1314"/>
      <c r="R10" s="1314"/>
      <c r="S10" s="1314"/>
      <c r="T10" s="1314"/>
      <c r="U10" s="1314" t="s">
        <v>338</v>
      </c>
      <c r="V10" s="1314"/>
      <c r="W10" s="1314"/>
      <c r="X10" s="1310"/>
      <c r="Y10" s="1534" t="s">
        <v>402</v>
      </c>
      <c r="Z10" s="1534" t="s">
        <v>391</v>
      </c>
      <c r="AA10" s="1570" t="s">
        <v>277</v>
      </c>
      <c r="AB10" s="1572"/>
    </row>
    <row r="11" spans="2:34" ht="72" thickBot="1" x14ac:dyDescent="0.25">
      <c r="B11" s="719" t="s">
        <v>340</v>
      </c>
      <c r="C11" s="719" t="s">
        <v>392</v>
      </c>
      <c r="D11" s="132" t="s">
        <v>33</v>
      </c>
      <c r="E11" s="752" t="s">
        <v>34</v>
      </c>
      <c r="F11" s="132" t="s">
        <v>270</v>
      </c>
      <c r="G11" s="752" t="s">
        <v>287</v>
      </c>
      <c r="H11" s="873" t="s">
        <v>271</v>
      </c>
      <c r="I11" s="752" t="s">
        <v>287</v>
      </c>
      <c r="J11" s="132" t="s">
        <v>272</v>
      </c>
      <c r="K11" s="811" t="s">
        <v>272</v>
      </c>
      <c r="L11" s="752" t="s">
        <v>318</v>
      </c>
      <c r="M11" s="132" t="s">
        <v>362</v>
      </c>
      <c r="N11" s="752" t="s">
        <v>359</v>
      </c>
      <c r="O11" s="132" t="s">
        <v>393</v>
      </c>
      <c r="P11" s="811" t="s">
        <v>371</v>
      </c>
      <c r="Q11" s="811" t="s">
        <v>321</v>
      </c>
      <c r="R11" s="811" t="s">
        <v>322</v>
      </c>
      <c r="S11" s="811" t="s">
        <v>323</v>
      </c>
      <c r="T11" s="752" t="s">
        <v>398</v>
      </c>
      <c r="U11" s="132" t="s">
        <v>325</v>
      </c>
      <c r="V11" s="811" t="s">
        <v>326</v>
      </c>
      <c r="W11" s="811" t="s">
        <v>327</v>
      </c>
      <c r="X11" s="752" t="s">
        <v>328</v>
      </c>
      <c r="Y11" s="1591"/>
      <c r="Z11" s="1591"/>
      <c r="AA11" s="126" t="s">
        <v>296</v>
      </c>
      <c r="AB11" s="861" t="s">
        <v>297</v>
      </c>
      <c r="AC11" s="43" t="s">
        <v>298</v>
      </c>
      <c r="AD11" s="43" t="s">
        <v>364</v>
      </c>
      <c r="AH11" s="101" t="s">
        <v>281</v>
      </c>
    </row>
    <row r="12" spans="2:34" ht="14.25" x14ac:dyDescent="0.2">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4.25" x14ac:dyDescent="0.2">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4.25" x14ac:dyDescent="0.2">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4.25" x14ac:dyDescent="0.2">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4.25" x14ac:dyDescent="0.2">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4.25" x14ac:dyDescent="0.2">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4.25" x14ac:dyDescent="0.2">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4.25" x14ac:dyDescent="0.2">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4.25" x14ac:dyDescent="0.2">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4.25" x14ac:dyDescent="0.2">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4.25" x14ac:dyDescent="0.2">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4.25" x14ac:dyDescent="0.2">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4.25" x14ac:dyDescent="0.2">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4.25" x14ac:dyDescent="0.2">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4.25" x14ac:dyDescent="0.2">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4.25" x14ac:dyDescent="0.2">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4.25" x14ac:dyDescent="0.2">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4.25" x14ac:dyDescent="0.2">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4.25" x14ac:dyDescent="0.2">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4.25" x14ac:dyDescent="0.2">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4.25" x14ac:dyDescent="0.2">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4.25" x14ac:dyDescent="0.2">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4.25" x14ac:dyDescent="0.2">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4.25" x14ac:dyDescent="0.2">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4.25" x14ac:dyDescent="0.2">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4.25" x14ac:dyDescent="0.2">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4.25" x14ac:dyDescent="0.2">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4.25" x14ac:dyDescent="0.2">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4.25" x14ac:dyDescent="0.2">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4.25" x14ac:dyDescent="0.2">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4.25" x14ac:dyDescent="0.2">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4.25" x14ac:dyDescent="0.2">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4.25" x14ac:dyDescent="0.2">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4.25" x14ac:dyDescent="0.2">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4.25" x14ac:dyDescent="0.2">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4.25" x14ac:dyDescent="0.2">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4.25" x14ac:dyDescent="0.2">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4.25" x14ac:dyDescent="0.2">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4.25" x14ac:dyDescent="0.2">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4.25" x14ac:dyDescent="0.2">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4.25" x14ac:dyDescent="0.2">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4.25" x14ac:dyDescent="0.2">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4.25" x14ac:dyDescent="0.2">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4.25" x14ac:dyDescent="0.2">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4.25" x14ac:dyDescent="0.2">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4.25" x14ac:dyDescent="0.2">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4.25" x14ac:dyDescent="0.2">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4.25" x14ac:dyDescent="0.2">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4.25" x14ac:dyDescent="0.2">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4.25" x14ac:dyDescent="0.2">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4.25" x14ac:dyDescent="0.2">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4.25" x14ac:dyDescent="0.2">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4.25" x14ac:dyDescent="0.2">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4.25" x14ac:dyDescent="0.2">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4.25" x14ac:dyDescent="0.2">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4.25" x14ac:dyDescent="0.2">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4.25" x14ac:dyDescent="0.2">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4.25" x14ac:dyDescent="0.2">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4.25" x14ac:dyDescent="0.2">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4.25" x14ac:dyDescent="0.2">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4.25" x14ac:dyDescent="0.2">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4.25" x14ac:dyDescent="0.2">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4.25" x14ac:dyDescent="0.2">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4.25" x14ac:dyDescent="0.2">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4.25" x14ac:dyDescent="0.2">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4.25" x14ac:dyDescent="0.2">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4.25" x14ac:dyDescent="0.2">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4.25" x14ac:dyDescent="0.2">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4.25" x14ac:dyDescent="0.2">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4.25" x14ac:dyDescent="0.2">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4.25" x14ac:dyDescent="0.2">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4.25" x14ac:dyDescent="0.2">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4.25" x14ac:dyDescent="0.2">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4.25" x14ac:dyDescent="0.2">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4.25" x14ac:dyDescent="0.2">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4.25" x14ac:dyDescent="0.2">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4.25" x14ac:dyDescent="0.2">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4.25" x14ac:dyDescent="0.2">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4.25" x14ac:dyDescent="0.2">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4.25" x14ac:dyDescent="0.2">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4.25" x14ac:dyDescent="0.2">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4.25" x14ac:dyDescent="0.2">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4.25" x14ac:dyDescent="0.2">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4.25" x14ac:dyDescent="0.2">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4.25" x14ac:dyDescent="0.2">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4.25" x14ac:dyDescent="0.2">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4.25" x14ac:dyDescent="0.2">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4.25" x14ac:dyDescent="0.2">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4.25" x14ac:dyDescent="0.2">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4.25" x14ac:dyDescent="0.2">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4.25" x14ac:dyDescent="0.2">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4.25" x14ac:dyDescent="0.2">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4.25" x14ac:dyDescent="0.2">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4.25" x14ac:dyDescent="0.2">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4.25" x14ac:dyDescent="0.2">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4.25" x14ac:dyDescent="0.2">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4.25" x14ac:dyDescent="0.2">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4.25" x14ac:dyDescent="0.2">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4.25" x14ac:dyDescent="0.2">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4.25" x14ac:dyDescent="0.2">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4.25" x14ac:dyDescent="0.2">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4.25" x14ac:dyDescent="0.2">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4.25" x14ac:dyDescent="0.2">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4.25" x14ac:dyDescent="0.2">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4.25" x14ac:dyDescent="0.2">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4.25" x14ac:dyDescent="0.2">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4.25" x14ac:dyDescent="0.2">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4.25" x14ac:dyDescent="0.2">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4.25" x14ac:dyDescent="0.2">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4.25" x14ac:dyDescent="0.2">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4.25" x14ac:dyDescent="0.2">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4.25" x14ac:dyDescent="0.2">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4.25" x14ac:dyDescent="0.2">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4.25" x14ac:dyDescent="0.2">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4.25" x14ac:dyDescent="0.2">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4.25" x14ac:dyDescent="0.2">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4.25" x14ac:dyDescent="0.2">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4.25" x14ac:dyDescent="0.2">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4.25" x14ac:dyDescent="0.2">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4.25" x14ac:dyDescent="0.2">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4.25" x14ac:dyDescent="0.2">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4.25" x14ac:dyDescent="0.2">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4.25" x14ac:dyDescent="0.2">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4.25" x14ac:dyDescent="0.2">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4.25" x14ac:dyDescent="0.2">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4.25" x14ac:dyDescent="0.2">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4.25" x14ac:dyDescent="0.2">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4.25" x14ac:dyDescent="0.2">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4.25" x14ac:dyDescent="0.2">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4.25" x14ac:dyDescent="0.2">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4.25" x14ac:dyDescent="0.2">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4.25" x14ac:dyDescent="0.2">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4.25" x14ac:dyDescent="0.2">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4.25" x14ac:dyDescent="0.2">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4.25" x14ac:dyDescent="0.2">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4.25" x14ac:dyDescent="0.2">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4.25" x14ac:dyDescent="0.2">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4.25" x14ac:dyDescent="0.2">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4.25" x14ac:dyDescent="0.2">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4.25" x14ac:dyDescent="0.2">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4.25" x14ac:dyDescent="0.2">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4.25" x14ac:dyDescent="0.2">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4.25" x14ac:dyDescent="0.2">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4.25" x14ac:dyDescent="0.2">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4.25" x14ac:dyDescent="0.2">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4.25" x14ac:dyDescent="0.2">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4.25" x14ac:dyDescent="0.2">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4.25" x14ac:dyDescent="0.2">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4.25" x14ac:dyDescent="0.2">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4.25" x14ac:dyDescent="0.2">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4.25" x14ac:dyDescent="0.2">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4.25" x14ac:dyDescent="0.2">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4.25" x14ac:dyDescent="0.2">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4.25" x14ac:dyDescent="0.2">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4.25" x14ac:dyDescent="0.2">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4.25" x14ac:dyDescent="0.2">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4.25" x14ac:dyDescent="0.2">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4.25" x14ac:dyDescent="0.2">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4.25" x14ac:dyDescent="0.2">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4.25" x14ac:dyDescent="0.2">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4.25" x14ac:dyDescent="0.2">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4.25" x14ac:dyDescent="0.2">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4.25" x14ac:dyDescent="0.2">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4.25" x14ac:dyDescent="0.2">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4.25" x14ac:dyDescent="0.2">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4.25" x14ac:dyDescent="0.2">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4.25" x14ac:dyDescent="0.2">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4.25" x14ac:dyDescent="0.2">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4.25" x14ac:dyDescent="0.2">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4.25" x14ac:dyDescent="0.2">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4.25" x14ac:dyDescent="0.2">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4.25" x14ac:dyDescent="0.2">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4.25" x14ac:dyDescent="0.2">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4.25" x14ac:dyDescent="0.2">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4.25" x14ac:dyDescent="0.2">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4.25" x14ac:dyDescent="0.2">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4.25" x14ac:dyDescent="0.2">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4.25" x14ac:dyDescent="0.2">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4.25" x14ac:dyDescent="0.2">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4.25" x14ac:dyDescent="0.2">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4.25" x14ac:dyDescent="0.2">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4.25" x14ac:dyDescent="0.2">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4.25" x14ac:dyDescent="0.2">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4.25" x14ac:dyDescent="0.2">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4.25" x14ac:dyDescent="0.2">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4.25" x14ac:dyDescent="0.2">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4.25" x14ac:dyDescent="0.2">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4.25" x14ac:dyDescent="0.2">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4.25" x14ac:dyDescent="0.2">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4.25" x14ac:dyDescent="0.2">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4.25" x14ac:dyDescent="0.2">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4.25" x14ac:dyDescent="0.2">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4.25" x14ac:dyDescent="0.2">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4.25" x14ac:dyDescent="0.2">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4.25" x14ac:dyDescent="0.2">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4.25" x14ac:dyDescent="0.2">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4.25" x14ac:dyDescent="0.2">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4.25" x14ac:dyDescent="0.2">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4.25" x14ac:dyDescent="0.2">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4.25" x14ac:dyDescent="0.2">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4.25" x14ac:dyDescent="0.2">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4.25" x14ac:dyDescent="0.2">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4.25" x14ac:dyDescent="0.2">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4.25" x14ac:dyDescent="0.2">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4.25" x14ac:dyDescent="0.2">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4.25" x14ac:dyDescent="0.2">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4.25" x14ac:dyDescent="0.2">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4.25" x14ac:dyDescent="0.2">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4.25" x14ac:dyDescent="0.2">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4.25" x14ac:dyDescent="0.2">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4.25" x14ac:dyDescent="0.2">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4.25" x14ac:dyDescent="0.2">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4.25" x14ac:dyDescent="0.2">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4.25" x14ac:dyDescent="0.2">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4.25" x14ac:dyDescent="0.2">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4.25" x14ac:dyDescent="0.2">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4.25" x14ac:dyDescent="0.2">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4.25" x14ac:dyDescent="0.2">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4.25" x14ac:dyDescent="0.2">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4.25" x14ac:dyDescent="0.2">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4.25" x14ac:dyDescent="0.2">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4.25" x14ac:dyDescent="0.2">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4.25" x14ac:dyDescent="0.2">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4.25" x14ac:dyDescent="0.2">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4.25" x14ac:dyDescent="0.2">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4.25" x14ac:dyDescent="0.2">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4.25" x14ac:dyDescent="0.2">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4.25" x14ac:dyDescent="0.2">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4.25" x14ac:dyDescent="0.2">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4.25" x14ac:dyDescent="0.2">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4.25" x14ac:dyDescent="0.2">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4.25" x14ac:dyDescent="0.2">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4.25" x14ac:dyDescent="0.2">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4.25" x14ac:dyDescent="0.2">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4.25" x14ac:dyDescent="0.2">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4.25" x14ac:dyDescent="0.2">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4.25" x14ac:dyDescent="0.2">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4.25" x14ac:dyDescent="0.2">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4.25" x14ac:dyDescent="0.2">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4.25" x14ac:dyDescent="0.2">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4.25" x14ac:dyDescent="0.2">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4.25" x14ac:dyDescent="0.2">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4.25" x14ac:dyDescent="0.2">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4.25" x14ac:dyDescent="0.2">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4.25" x14ac:dyDescent="0.2">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4.25" x14ac:dyDescent="0.2">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4.25" x14ac:dyDescent="0.2">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 thickBot="1" x14ac:dyDescent="0.25">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 thickBot="1" x14ac:dyDescent="0.25">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0"/>
      <c r="X260" s="1590"/>
      <c r="Y260" s="366">
        <f>SUM(Y12:Y259)</f>
        <v>0</v>
      </c>
      <c r="Z260" s="366">
        <f>SUM(Z12:Z259)</f>
        <v>0</v>
      </c>
      <c r="AA260" s="34"/>
      <c r="AB260" s="34"/>
    </row>
    <row r="261" spans="2:34" ht="28.9" customHeight="1" x14ac:dyDescent="0.2">
      <c r="E261" s="1582"/>
      <c r="F261" s="1582"/>
      <c r="G261" s="1582"/>
      <c r="H261" s="1582"/>
      <c r="I261" s="1582"/>
      <c r="J261" s="1582"/>
    </row>
    <row r="262" spans="2:34" ht="27" customHeight="1" x14ac:dyDescent="0.2"/>
    <row r="263" spans="2:34" ht="14.25" x14ac:dyDescent="0.2"/>
    <row r="264" spans="2:34" ht="14.25" x14ac:dyDescent="0.2"/>
    <row r="265" spans="2:34" ht="14.25" x14ac:dyDescent="0.2"/>
    <row r="266" spans="2:34" ht="14.25" hidden="1" x14ac:dyDescent="0.2"/>
    <row r="267" spans="2:34" ht="14.25" hidden="1" x14ac:dyDescent="0.2"/>
    <row r="268" spans="2:34" ht="14.25" hidden="1" x14ac:dyDescent="0.2"/>
  </sheetData>
  <sheetProtection algorithmName="SHA-512" hashValue="Y+j0lYlCLu9Pjh9RuMi2kw/3ggIjr66vR4w+uIU1oFMvnTYy4RO9h8nrECWTaVQ8Ida1it4iZlHuQK9TDD3jSA==" saltValue="RJI0hy8yGg3cQQ4uORKAR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E261:J261">
    <cfRule type="containsText" dxfId="225" priority="128" operator="containsText" text="Check">
      <formula>NOT(ISERROR(SEARCH("Check",E261)))</formula>
    </cfRule>
  </conditionalFormatting>
  <conditionalFormatting sqref="I12:I259">
    <cfRule type="containsText" dxfId="224" priority="12" operator="containsText" text="Not possible">
      <formula>NOT(ISERROR(SEARCH("Not possible",I12)))</formula>
    </cfRule>
  </conditionalFormatting>
  <conditionalFormatting sqref="I12:Y259">
    <cfRule type="containsText" dxfId="223" priority="134" operator="containsText" text="Error">
      <formula>NOT(ISERROR(SEARCH("Error",I12)))</formula>
    </cfRule>
  </conditionalFormatting>
  <conditionalFormatting sqref="K12:L259">
    <cfRule type="containsText" dxfId="222" priority="133" operator="containsText" text="Spatial">
      <formula>NOT(ISERROR(SEARCH("Spatial",K12)))</formula>
    </cfRule>
  </conditionalFormatting>
  <conditionalFormatting sqref="M3:M4">
    <cfRule type="containsText" dxfId="221" priority="2" operator="containsText" text="Error">
      <formula>NOT(ISERROR(SEARCH("Error",M3)))</formula>
    </cfRule>
    <cfRule type="containsText" dxfId="220" priority="3" operator="containsText" text="Check">
      <formula>NOT(ISERROR(SEARCH("Check",M3)))</formula>
    </cfRule>
  </conditionalFormatting>
  <conditionalFormatting sqref="M4">
    <cfRule type="cellIs" dxfId="219" priority="1" operator="equal">
      <formula>0</formula>
    </cfRule>
    <cfRule type="cellIs" dxfId="218" priority="4" operator="lessThan">
      <formula>0</formula>
    </cfRule>
  </conditionalFormatting>
  <conditionalFormatting sqref="M5">
    <cfRule type="containsText" dxfId="215" priority="13" operator="containsText" text="No">
      <formula>NOT(ISERROR(SEARCH("No",M5)))</formula>
    </cfRule>
    <cfRule type="containsText" dxfId="214" priority="14" operator="containsText" text="Yes">
      <formula>NOT(ISERROR(SEARCH("Yes",M5)))</formula>
    </cfRule>
  </conditionalFormatting>
  <conditionalFormatting sqref="M12:M259">
    <cfRule type="containsText" dxfId="213" priority="139" operator="containsText" text="Existing Value Not Required">
      <formula>NOT(ISERROR(SEARCH("Existing Value Not Required",M12)))</formula>
    </cfRule>
    <cfRule type="containsText" dxfId="212" priority="140" operator="containsText" text="Existing Value Required">
      <formula>NOT(ISERROR(SEARCH("Existing Value Required",M12)))</formula>
    </cfRule>
  </conditionalFormatting>
  <conditionalFormatting sqref="M13:M259">
    <cfRule type="containsText" dxfId="211" priority="135" operator="containsText" text="Existing Value Not Required">
      <formula>NOT(ISERROR(SEARCH("Existing Value Not Required",M13)))</formula>
    </cfRule>
    <cfRule type="containsText" dxfId="210" priority="136" operator="containsText" text="Existing Value Required">
      <formula>NOT(ISERROR(SEARCH("Existing Value Required",M13)))</formula>
    </cfRule>
  </conditionalFormatting>
  <conditionalFormatting sqref="M17:M27">
    <cfRule type="containsText" dxfId="209" priority="32" operator="containsText" text="Existing Value Required">
      <formula>NOT(ISERROR(SEARCH("Existing Value Required",M17)))</formula>
    </cfRule>
    <cfRule type="containsText" dxfId="208" priority="33" operator="containsText" text="Existing Value Not Required">
      <formula>NOT(ISERROR(SEARCH("Existing Value Not Required",M17)))</formula>
    </cfRule>
  </conditionalFormatting>
  <conditionalFormatting sqref="M22:M27">
    <cfRule type="containsText" dxfId="207" priority="21" operator="containsText" text="Existing Value Not Required">
      <formula>NOT(ISERROR(SEARCH("Existing Value Not Required",M22)))</formula>
    </cfRule>
  </conditionalFormatting>
  <conditionalFormatting sqref="M23:M27">
    <cfRule type="containsText" dxfId="206" priority="22" operator="containsText" text="Existing Value Required">
      <formula>NOT(ISERROR(SEARCH("Existing Value Required",M23)))</formula>
    </cfRule>
  </conditionalFormatting>
  <conditionalFormatting sqref="N12:N259">
    <cfRule type="containsText" dxfId="205" priority="132" operator="containsText" text="Spatial">
      <formula>NOT(ISERROR(SEARCH("Spatial",N12)))</formula>
    </cfRule>
  </conditionalFormatting>
  <conditionalFormatting sqref="O2 O6:S6">
    <cfRule type="containsText" dxfId="204" priority="131" operator="containsText" text="Note">
      <formula>NOT(ISERROR(SEARCH("Note",O2)))</formula>
    </cfRule>
  </conditionalFormatting>
  <conditionalFormatting sqref="R12:Y259">
    <cfRule type="containsText" dxfId="203" priority="121" operator="containsText" text="30+">
      <formula>NOT(ISERROR(SEARCH("30+",R12)))</formula>
    </cfRule>
    <cfRule type="containsText" dxfId="202" priority="130" operator="containsText" text="Check">
      <formula>NOT(ISERROR(SEARCH("Check",R12)))</formula>
    </cfRule>
  </conditionalFormatting>
  <conditionalFormatting sqref="V12:V259">
    <cfRule type="beginsWith" dxfId="201" priority="129" operator="beginsWith" text="No">
      <formula>LEFT(V12,LEN("No"))="No"</formula>
    </cfRule>
  </conditionalFormatting>
  <conditionalFormatting sqref="Y12:Y259">
    <cfRule type="containsText" dxfId="200" priority="137" operator="containsText" text="Existing Value Not Required">
      <formula>NOT(ISERROR(SEARCH("Existing Value Not Required",Y12)))</formula>
    </cfRule>
    <cfRule type="containsText" dxfId="199" priority="138" operator="containsText" text="Existing Value Required">
      <formula>NOT(ISERROR(SEARCH("Existing Value Required",Y12)))</formula>
    </cfRule>
  </conditionalFormatting>
  <conditionalFormatting sqref="Z12:Z259">
    <cfRule type="containsText" dxfId="198" priority="5" operator="containsText" text="30+">
      <formula>NOT(ISERROR(SEARCH("30+",Z12)))</formula>
    </cfRule>
    <cfRule type="containsText" dxfId="197" priority="6" operator="containsText" text="Check">
      <formula>NOT(ISERROR(SEARCH("Check",Z12)))</formula>
    </cfRule>
    <cfRule type="containsText" dxfId="196" priority="7" operator="containsText" text="Error">
      <formula>NOT(ISERROR(SEARCH("Error",Z12)))</formula>
    </cfRule>
    <cfRule type="containsText" dxfId="195" priority="8" operator="containsText" text="Existing Value Not Required">
      <formula>NOT(ISERROR(SEARCH("Existing Value Not Required",Z12)))</formula>
    </cfRule>
    <cfRule type="containsText" dxfId="194" priority="9" operator="containsText" text="Existing Value Required">
      <formula>NOT(ISERROR(SEARCH("Existing Value Required",Z12)))</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193CDB16-95C6-403F-B2FD-D15A53D5A91A}">
            <xm:f>Start!$F$22</xm:f>
            <x14:dxf>
              <font>
                <color rgb="FF383745"/>
              </font>
              <fill>
                <patternFill>
                  <bgColor rgb="FFFFC000"/>
                </patternFill>
              </fill>
            </x14:dxf>
          </x14:cfRule>
          <x14:cfRule type="cellIs" priority="442"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
  <cols>
    <col min="1" max="1" width="2.85546875" style="30" customWidth="1"/>
    <col min="2" max="2" width="11" style="30" customWidth="1"/>
    <col min="3" max="3" width="52.42578125" style="30" customWidth="1"/>
    <col min="4" max="4" width="8.7109375" style="30" customWidth="1"/>
    <col min="5" max="5" width="17.85546875" style="30" customWidth="1"/>
    <col min="6" max="6" width="18.28515625" style="30" customWidth="1"/>
    <col min="7" max="7" width="18.140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140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140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85546875" style="30" customWidth="1"/>
    <col min="41" max="41" width="15.5703125" style="30" customWidth="1"/>
    <col min="42" max="42" width="12.5703125" style="30" customWidth="1"/>
    <col min="43" max="43" width="15.85546875" style="30" hidden="1" customWidth="1"/>
    <col min="44" max="16384" width="8.85546875" style="30" hidden="1"/>
  </cols>
  <sheetData>
    <row r="1" spans="2:43" ht="15.75" customHeight="1" thickBot="1" x14ac:dyDescent="0.25"/>
    <row r="2" spans="2:43" ht="19.899999999999999" customHeight="1" thickBot="1" x14ac:dyDescent="0.25">
      <c r="B2" s="1597" t="str">
        <f>CONCATENATE("Project Name:", " ", Start!F12, "     ", "Map Reference:", " ", Start!K66)</f>
        <v xml:space="preserve">Project Name: Botley West Solar Farm     Map Reference: </v>
      </c>
      <c r="C2" s="1598"/>
      <c r="N2" s="1592" t="s">
        <v>381</v>
      </c>
      <c r="O2" s="1593"/>
      <c r="X2" s="1460" t="str">
        <f>IF(OR(COUNTIF($X$12:X257,"*30+*")&gt;0,COUNTIF($AB$12:AB257,"*30+*")&gt;0),"Note; Habitat selected has a time to target condition greater than 30 years. Non standard agreement may be required. ⚠","")</f>
        <v/>
      </c>
      <c r="Y2" s="1460"/>
      <c r="Z2" s="1460"/>
      <c r="AA2" s="1460"/>
      <c r="AB2" s="1460"/>
      <c r="AC2" s="1460"/>
    </row>
    <row r="3" spans="2:43" ht="19.149999999999999" customHeight="1" thickBot="1" x14ac:dyDescent="0.25">
      <c r="B3" s="1554" t="str">
        <f ca="1">MID(CELL("filename",A1),FIND("]",CELL("filename",A1))+1,256)</f>
        <v>E-3 Off-Site Hedge Enhancement</v>
      </c>
      <c r="C3" s="1556"/>
      <c r="H3" s="509"/>
      <c r="I3" s="509"/>
      <c r="N3" s="535" t="s">
        <v>264</v>
      </c>
      <c r="O3" s="512">
        <f ca="1">'Headline Results'!H48</f>
        <v>332.1931023132538</v>
      </c>
      <c r="X3" s="1460"/>
      <c r="Y3" s="1460"/>
      <c r="Z3" s="1460"/>
      <c r="AA3" s="1460"/>
      <c r="AB3" s="1460"/>
      <c r="AC3" s="1460"/>
    </row>
    <row r="4" spans="2:43" ht="15.75" customHeight="1" thickBot="1" x14ac:dyDescent="0.25">
      <c r="B4" s="1554"/>
      <c r="C4" s="1556"/>
      <c r="H4" s="509"/>
      <c r="I4" s="509"/>
      <c r="N4" s="506" t="s">
        <v>266</v>
      </c>
      <c r="O4" s="513">
        <f ca="1">'Headline Results'!H52</f>
        <v>0.59183226774872055</v>
      </c>
      <c r="X4" s="1460"/>
      <c r="Y4" s="1460"/>
      <c r="Z4" s="1460"/>
      <c r="AA4" s="1460"/>
      <c r="AB4" s="1460"/>
      <c r="AC4" s="1460"/>
    </row>
    <row r="5" spans="2:43" ht="15.75" customHeight="1" thickBot="1" x14ac:dyDescent="0.3">
      <c r="H5" s="509"/>
      <c r="I5" s="509"/>
      <c r="N5" s="536" t="s">
        <v>268</v>
      </c>
      <c r="O5" s="504" t="str" cm="1">
        <f t="array" aca="1" ref="O5" ca="1">IF(OR('Trading Summary Hedgerows'!G5:H8="No ▲"), "No - check trading summary ▲", "Yes ✓")</f>
        <v>Yes ✓</v>
      </c>
      <c r="P5" s="509"/>
      <c r="W5" s="158"/>
      <c r="X5" s="158"/>
      <c r="Y5" s="158"/>
      <c r="Z5" s="158"/>
      <c r="AA5" s="158"/>
      <c r="AB5" s="158"/>
      <c r="AC5" s="158"/>
      <c r="AD5" s="158"/>
      <c r="AE5" s="158"/>
      <c r="AF5" s="158"/>
      <c r="AG5" s="158"/>
      <c r="AH5" s="158"/>
    </row>
    <row r="6" spans="2:43" ht="27.6" customHeight="1" x14ac:dyDescent="0.2"/>
    <row r="7" spans="2:43" ht="15" thickBot="1" x14ac:dyDescent="0.25">
      <c r="B7" s="102"/>
      <c r="C7" s="102"/>
      <c r="M7" s="101"/>
    </row>
    <row r="8" spans="2:43" ht="15" thickBot="1" x14ac:dyDescent="0.25">
      <c r="M8" s="1539" t="s">
        <v>403</v>
      </c>
      <c r="N8" s="1540"/>
      <c r="O8" s="1540"/>
      <c r="P8" s="1540"/>
      <c r="Q8" s="1540"/>
      <c r="R8" s="1540"/>
      <c r="S8" s="1540"/>
      <c r="T8" s="1540"/>
      <c r="U8" s="1540"/>
      <c r="V8" s="1540"/>
      <c r="W8" s="1540"/>
      <c r="X8" s="1540"/>
      <c r="Y8" s="1540"/>
      <c r="Z8" s="1540"/>
      <c r="AA8" s="1540"/>
      <c r="AB8" s="1540"/>
      <c r="AC8" s="1540"/>
      <c r="AD8" s="1540"/>
      <c r="AE8" s="1540"/>
      <c r="AF8" s="1540"/>
      <c r="AG8" s="1540"/>
      <c r="AH8" s="1540"/>
      <c r="AI8" s="1541"/>
    </row>
    <row r="9" spans="2:43" ht="15" thickBot="1" x14ac:dyDescent="0.25">
      <c r="C9" s="101"/>
      <c r="D9" s="101"/>
      <c r="E9" s="101"/>
      <c r="F9" s="101"/>
      <c r="G9" s="101"/>
      <c r="H9" s="101"/>
      <c r="I9" s="101"/>
      <c r="J9" s="101"/>
      <c r="K9" s="101"/>
      <c r="L9" s="101"/>
      <c r="M9" s="1594" t="s">
        <v>335</v>
      </c>
      <c r="N9" s="1595"/>
      <c r="O9" s="1595"/>
      <c r="P9" s="1595"/>
      <c r="Q9" s="1595"/>
      <c r="R9" s="1595"/>
      <c r="S9" s="1595"/>
      <c r="T9" s="1595"/>
      <c r="U9" s="1595"/>
      <c r="V9" s="1595"/>
      <c r="W9" s="1595"/>
      <c r="X9" s="1595"/>
      <c r="Y9" s="1595"/>
      <c r="Z9" s="1595"/>
      <c r="AA9" s="1595"/>
      <c r="AB9" s="1595"/>
      <c r="AC9" s="1595"/>
      <c r="AD9" s="1595"/>
      <c r="AE9" s="1595"/>
      <c r="AF9" s="1595"/>
      <c r="AG9" s="1595"/>
      <c r="AH9" s="1595"/>
      <c r="AI9" s="1596"/>
    </row>
    <row r="10" spans="2:43" s="33" customFormat="1" ht="30" customHeight="1" thickBot="1" x14ac:dyDescent="0.25">
      <c r="C10" s="1529" t="s">
        <v>333</v>
      </c>
      <c r="D10" s="1599"/>
      <c r="E10" s="1599"/>
      <c r="F10" s="1599"/>
      <c r="G10" s="1599"/>
      <c r="H10" s="1599"/>
      <c r="I10" s="1599"/>
      <c r="J10" s="1599"/>
      <c r="K10" s="1599"/>
      <c r="L10" s="1530"/>
      <c r="M10" s="1529" t="s">
        <v>404</v>
      </c>
      <c r="N10" s="1312" t="s">
        <v>335</v>
      </c>
      <c r="O10" s="1310"/>
      <c r="P10" s="1531" t="s">
        <v>34</v>
      </c>
      <c r="Q10" s="1312" t="s">
        <v>270</v>
      </c>
      <c r="R10" s="1310"/>
      <c r="S10" s="1312" t="s">
        <v>271</v>
      </c>
      <c r="T10" s="1310"/>
      <c r="U10" s="1570" t="s">
        <v>272</v>
      </c>
      <c r="V10" s="1571"/>
      <c r="W10" s="1572"/>
      <c r="X10" s="1570" t="s">
        <v>315</v>
      </c>
      <c r="Y10" s="1571"/>
      <c r="Z10" s="1571"/>
      <c r="AA10" s="1571"/>
      <c r="AB10" s="1571"/>
      <c r="AC10" s="1572"/>
      <c r="AD10" s="1549" t="s">
        <v>338</v>
      </c>
      <c r="AE10" s="1549"/>
      <c r="AF10" s="1549"/>
      <c r="AG10" s="1549"/>
      <c r="AH10" s="749" t="s">
        <v>359</v>
      </c>
      <c r="AI10" s="1534" t="s">
        <v>359</v>
      </c>
      <c r="AJ10" s="1534" t="s">
        <v>402</v>
      </c>
      <c r="AK10" s="1534" t="s">
        <v>391</v>
      </c>
      <c r="AL10" s="1570" t="s">
        <v>277</v>
      </c>
      <c r="AM10" s="1572"/>
    </row>
    <row r="11" spans="2:43" ht="62.25" customHeight="1" thickBot="1" x14ac:dyDescent="0.25">
      <c r="B11" s="140" t="s">
        <v>340</v>
      </c>
      <c r="C11" s="145" t="s">
        <v>341</v>
      </c>
      <c r="D11" s="145" t="s">
        <v>34</v>
      </c>
      <c r="E11" s="145" t="s">
        <v>343</v>
      </c>
      <c r="F11" s="145" t="s">
        <v>344</v>
      </c>
      <c r="G11" s="145" t="s">
        <v>345</v>
      </c>
      <c r="H11" s="145" t="s">
        <v>346</v>
      </c>
      <c r="I11" s="145" t="s">
        <v>347</v>
      </c>
      <c r="J11" s="145" t="s">
        <v>348</v>
      </c>
      <c r="K11" s="145" t="s">
        <v>349</v>
      </c>
      <c r="L11" s="144" t="s">
        <v>273</v>
      </c>
      <c r="M11" s="1529"/>
      <c r="N11" s="126" t="s">
        <v>396</v>
      </c>
      <c r="O11" s="861" t="s">
        <v>397</v>
      </c>
      <c r="P11" s="1531"/>
      <c r="Q11" s="126" t="s">
        <v>270</v>
      </c>
      <c r="R11" s="861" t="s">
        <v>287</v>
      </c>
      <c r="S11" s="126" t="s">
        <v>271</v>
      </c>
      <c r="T11" s="861" t="s">
        <v>287</v>
      </c>
      <c r="U11" s="126" t="s">
        <v>272</v>
      </c>
      <c r="V11" s="874" t="s">
        <v>272</v>
      </c>
      <c r="W11" s="861" t="s">
        <v>318</v>
      </c>
      <c r="X11" s="132" t="s">
        <v>393</v>
      </c>
      <c r="Y11" s="811" t="s">
        <v>378</v>
      </c>
      <c r="Z11" s="811" t="s">
        <v>355</v>
      </c>
      <c r="AA11" s="811" t="s">
        <v>322</v>
      </c>
      <c r="AB11" s="811" t="s">
        <v>323</v>
      </c>
      <c r="AC11" s="752" t="s">
        <v>398</v>
      </c>
      <c r="AD11" s="132" t="s">
        <v>399</v>
      </c>
      <c r="AE11" s="811" t="s">
        <v>1682</v>
      </c>
      <c r="AF11" s="811" t="s">
        <v>400</v>
      </c>
      <c r="AG11" s="752" t="s">
        <v>328</v>
      </c>
      <c r="AH11" s="126" t="s">
        <v>362</v>
      </c>
      <c r="AI11" s="1591"/>
      <c r="AJ11" s="1567"/>
      <c r="AK11" s="1567"/>
      <c r="AL11" s="126" t="s">
        <v>296</v>
      </c>
      <c r="AM11" s="861" t="s">
        <v>297</v>
      </c>
      <c r="AN11" s="43" t="s">
        <v>298</v>
      </c>
      <c r="AO11" s="43" t="s">
        <v>364</v>
      </c>
      <c r="AQ11" s="101" t="s">
        <v>281</v>
      </c>
    </row>
    <row r="12" spans="2:43" ht="14.25" x14ac:dyDescent="0.2">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4.25" x14ac:dyDescent="0.2">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4.25" x14ac:dyDescent="0.2">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4.25" x14ac:dyDescent="0.2">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4.25" x14ac:dyDescent="0.2">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4.25" x14ac:dyDescent="0.2">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4.25" x14ac:dyDescent="0.2">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4.25" x14ac:dyDescent="0.2">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4.25" x14ac:dyDescent="0.2">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4.25" x14ac:dyDescent="0.2">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4.25" x14ac:dyDescent="0.2">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4.25" x14ac:dyDescent="0.2">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4.25" x14ac:dyDescent="0.2">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4.25" x14ac:dyDescent="0.2">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4.25" x14ac:dyDescent="0.2">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4.25" x14ac:dyDescent="0.2">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4.25" x14ac:dyDescent="0.2">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4.25" x14ac:dyDescent="0.2">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4.25" x14ac:dyDescent="0.2">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4.25" x14ac:dyDescent="0.2">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4.25" x14ac:dyDescent="0.2">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4.25" x14ac:dyDescent="0.2">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4.25" x14ac:dyDescent="0.2">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4.25" x14ac:dyDescent="0.2">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4.25" x14ac:dyDescent="0.2">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4.25" x14ac:dyDescent="0.2">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4.25" x14ac:dyDescent="0.2">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4.25" x14ac:dyDescent="0.2">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4.25" x14ac:dyDescent="0.2">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4.25" x14ac:dyDescent="0.2">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4.25" x14ac:dyDescent="0.2">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4.25" x14ac:dyDescent="0.2">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4.25" x14ac:dyDescent="0.2">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4.25" x14ac:dyDescent="0.2">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4.25" x14ac:dyDescent="0.2">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4.25" x14ac:dyDescent="0.2">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4.25" x14ac:dyDescent="0.2">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4.25" x14ac:dyDescent="0.2">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4.25" x14ac:dyDescent="0.2">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4.25" x14ac:dyDescent="0.2">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4.25" x14ac:dyDescent="0.2">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4.25" x14ac:dyDescent="0.2">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4.25" x14ac:dyDescent="0.2">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4.25" x14ac:dyDescent="0.2">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4.25" x14ac:dyDescent="0.2">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4.25" x14ac:dyDescent="0.2">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4.25" x14ac:dyDescent="0.2">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4.25" x14ac:dyDescent="0.2">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4.25" x14ac:dyDescent="0.2">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4.25" x14ac:dyDescent="0.2">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4.25" x14ac:dyDescent="0.2">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4.25" x14ac:dyDescent="0.2">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4.25" x14ac:dyDescent="0.2">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4.25" x14ac:dyDescent="0.2">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4.25" x14ac:dyDescent="0.2">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4.25" x14ac:dyDescent="0.2">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4.25" x14ac:dyDescent="0.2">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4.25" x14ac:dyDescent="0.2">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4.25" x14ac:dyDescent="0.2">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4.25" x14ac:dyDescent="0.2">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4.25" x14ac:dyDescent="0.2">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4.25" x14ac:dyDescent="0.2">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4.25" x14ac:dyDescent="0.2">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4.25" x14ac:dyDescent="0.2">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4.25" x14ac:dyDescent="0.2">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4.25" x14ac:dyDescent="0.2">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4.25" x14ac:dyDescent="0.2">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4.25" x14ac:dyDescent="0.2">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4.25" x14ac:dyDescent="0.2">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4.25" x14ac:dyDescent="0.2">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4.25" x14ac:dyDescent="0.2">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4.25" x14ac:dyDescent="0.2">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4.25" x14ac:dyDescent="0.2">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4.25" x14ac:dyDescent="0.2">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4.25" x14ac:dyDescent="0.2">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4.25" x14ac:dyDescent="0.2">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4.25" x14ac:dyDescent="0.2">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4.25" x14ac:dyDescent="0.2">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4.25" x14ac:dyDescent="0.2">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4.25" x14ac:dyDescent="0.2">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4.25" x14ac:dyDescent="0.2">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4.25" x14ac:dyDescent="0.2">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4.25" x14ac:dyDescent="0.2">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4.25" x14ac:dyDescent="0.2">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4.25" x14ac:dyDescent="0.2">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4.25" x14ac:dyDescent="0.2">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4.25" x14ac:dyDescent="0.2">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4.25" x14ac:dyDescent="0.2">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4.25" x14ac:dyDescent="0.2">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4.25" x14ac:dyDescent="0.2">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4.25" x14ac:dyDescent="0.2">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4.25" x14ac:dyDescent="0.2">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4.25" x14ac:dyDescent="0.2">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4.25" x14ac:dyDescent="0.2">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4.25" x14ac:dyDescent="0.2">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4.25" x14ac:dyDescent="0.2">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4.25" x14ac:dyDescent="0.2">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4.25" x14ac:dyDescent="0.2">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4.25" x14ac:dyDescent="0.2">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4.25" x14ac:dyDescent="0.2">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4.25" x14ac:dyDescent="0.2">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4.25" x14ac:dyDescent="0.2">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4.25" x14ac:dyDescent="0.2">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4.25" x14ac:dyDescent="0.2">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4.25" x14ac:dyDescent="0.2">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4.25" x14ac:dyDescent="0.2">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4.25" x14ac:dyDescent="0.2">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4.25" x14ac:dyDescent="0.2">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4.25" x14ac:dyDescent="0.2">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4.25" x14ac:dyDescent="0.2">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4.25" x14ac:dyDescent="0.2">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4.25" x14ac:dyDescent="0.2">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4.25" x14ac:dyDescent="0.2">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4.25" x14ac:dyDescent="0.2">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4.25" x14ac:dyDescent="0.2">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4.25" x14ac:dyDescent="0.2">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4.25" x14ac:dyDescent="0.2">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4.25" x14ac:dyDescent="0.2">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4.25" x14ac:dyDescent="0.2">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4.25" x14ac:dyDescent="0.2">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4.25" x14ac:dyDescent="0.2">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4.25" x14ac:dyDescent="0.2">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4.25" x14ac:dyDescent="0.2">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4.25" x14ac:dyDescent="0.2">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4.25" x14ac:dyDescent="0.2">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4.25" x14ac:dyDescent="0.2">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4.25" x14ac:dyDescent="0.2">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4.25" x14ac:dyDescent="0.2">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4.25" x14ac:dyDescent="0.2">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4.25" x14ac:dyDescent="0.2">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4.25" x14ac:dyDescent="0.2">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4.25" x14ac:dyDescent="0.2">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4.25" x14ac:dyDescent="0.2">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4.25" x14ac:dyDescent="0.2">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4.25" x14ac:dyDescent="0.2">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4.25" x14ac:dyDescent="0.2">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4.25" x14ac:dyDescent="0.2">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4.25" x14ac:dyDescent="0.2">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4.25" x14ac:dyDescent="0.2">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4.25" x14ac:dyDescent="0.2">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4.25" x14ac:dyDescent="0.2">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4.25" x14ac:dyDescent="0.2">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4.25" x14ac:dyDescent="0.2">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4.25" x14ac:dyDescent="0.2">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4.25" x14ac:dyDescent="0.2">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4.25" x14ac:dyDescent="0.2">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4.25" x14ac:dyDescent="0.2">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4.25" x14ac:dyDescent="0.2">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4.25" x14ac:dyDescent="0.2">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4.25" x14ac:dyDescent="0.2">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4.25" x14ac:dyDescent="0.2">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4.25" x14ac:dyDescent="0.2">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4.25" x14ac:dyDescent="0.2">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4.25" x14ac:dyDescent="0.2">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4.25" x14ac:dyDescent="0.2">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4.25" x14ac:dyDescent="0.2">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4.25" x14ac:dyDescent="0.2">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4.25" x14ac:dyDescent="0.2">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4.25" x14ac:dyDescent="0.2">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4.25" x14ac:dyDescent="0.2">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4.25" x14ac:dyDescent="0.2">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4.25" x14ac:dyDescent="0.2">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4.25" x14ac:dyDescent="0.2">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4.25" x14ac:dyDescent="0.2">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4.25" x14ac:dyDescent="0.2">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4.25" x14ac:dyDescent="0.2">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4.25" x14ac:dyDescent="0.2">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4.25" x14ac:dyDescent="0.2">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4.25" x14ac:dyDescent="0.2">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4.25" x14ac:dyDescent="0.2">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4.25" x14ac:dyDescent="0.2">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4.25" x14ac:dyDescent="0.2">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4.25" x14ac:dyDescent="0.2">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4.25" x14ac:dyDescent="0.2">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4.25" x14ac:dyDescent="0.2">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4.25" x14ac:dyDescent="0.2">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4.25" x14ac:dyDescent="0.2">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4.25" x14ac:dyDescent="0.2">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4.25" x14ac:dyDescent="0.2">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4.25" x14ac:dyDescent="0.2">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4.25" x14ac:dyDescent="0.2">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4.25" x14ac:dyDescent="0.2">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4.25" x14ac:dyDescent="0.2">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4.25" x14ac:dyDescent="0.2">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4.25" x14ac:dyDescent="0.2">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4.25" x14ac:dyDescent="0.2">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4.25" x14ac:dyDescent="0.2">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4.25" x14ac:dyDescent="0.2">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4.25" x14ac:dyDescent="0.2">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4.25" x14ac:dyDescent="0.2">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4.25" x14ac:dyDescent="0.2">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4.25" x14ac:dyDescent="0.2">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4.25" x14ac:dyDescent="0.2">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4.25" x14ac:dyDescent="0.2">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4.25" x14ac:dyDescent="0.2">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4.25" x14ac:dyDescent="0.2">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4.25" x14ac:dyDescent="0.2">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4.25" x14ac:dyDescent="0.2">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4.25" x14ac:dyDescent="0.2">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4.25" x14ac:dyDescent="0.2">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4.25" x14ac:dyDescent="0.2">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4.25" x14ac:dyDescent="0.2">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4.25" x14ac:dyDescent="0.2">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4.25" x14ac:dyDescent="0.2">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4.25" x14ac:dyDescent="0.2">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4.25" x14ac:dyDescent="0.2">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4.25" x14ac:dyDescent="0.2">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4.25" x14ac:dyDescent="0.2">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4.25" x14ac:dyDescent="0.2">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4.25" x14ac:dyDescent="0.2">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4.25" x14ac:dyDescent="0.2">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4.25" x14ac:dyDescent="0.2">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4.25" x14ac:dyDescent="0.2">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4.25" x14ac:dyDescent="0.2">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4.25" x14ac:dyDescent="0.2">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4.25" x14ac:dyDescent="0.2">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4.25" x14ac:dyDescent="0.2">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4.25" x14ac:dyDescent="0.2">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4.25" x14ac:dyDescent="0.2">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4.25" x14ac:dyDescent="0.2">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4.25" x14ac:dyDescent="0.2">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4.25" x14ac:dyDescent="0.2">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4.25" x14ac:dyDescent="0.2">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4.25" x14ac:dyDescent="0.2">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4.25" x14ac:dyDescent="0.2">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4.25" x14ac:dyDescent="0.2">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4.25" x14ac:dyDescent="0.2">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4.25" x14ac:dyDescent="0.2">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4.25" x14ac:dyDescent="0.2">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4.25" x14ac:dyDescent="0.2">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4.25" x14ac:dyDescent="0.2">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4.25" x14ac:dyDescent="0.2">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4.25" x14ac:dyDescent="0.2">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4.25" x14ac:dyDescent="0.2">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4.25" x14ac:dyDescent="0.2">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4.25" x14ac:dyDescent="0.2">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4.25" x14ac:dyDescent="0.2">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4.25" x14ac:dyDescent="0.2">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4.25" x14ac:dyDescent="0.2">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4.25" x14ac:dyDescent="0.2">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4.25" x14ac:dyDescent="0.2">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4.25" x14ac:dyDescent="0.2">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4.25" x14ac:dyDescent="0.2">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4.25" x14ac:dyDescent="0.2">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4.25" x14ac:dyDescent="0.2">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 thickBot="1" x14ac:dyDescent="0.25">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 thickBot="1" x14ac:dyDescent="0.25">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4.25" x14ac:dyDescent="0.2"/>
    <row r="260" spans="2:43" ht="14.25" x14ac:dyDescent="0.2"/>
    <row r="261" spans="2:43" ht="14.25" x14ac:dyDescent="0.2"/>
    <row r="262" spans="2:43" ht="14.25" x14ac:dyDescent="0.2"/>
    <row r="263" spans="2:43" ht="14.25" x14ac:dyDescent="0.2"/>
    <row r="264" spans="2:43" ht="14.25" x14ac:dyDescent="0.2"/>
    <row r="265" spans="2:43" ht="14.25" x14ac:dyDescent="0.2"/>
    <row r="266" spans="2:43" ht="14.25" x14ac:dyDescent="0.2"/>
    <row r="267" spans="2:43" ht="15" hidden="1" customHeight="1" x14ac:dyDescent="0.2"/>
    <row r="268" spans="2:43" ht="15" hidden="1" customHeight="1" x14ac:dyDescent="0.2"/>
    <row r="269" spans="2:43" ht="15" hidden="1" customHeight="1" x14ac:dyDescent="0.2"/>
    <row r="270" spans="2:43" ht="15" hidden="1" customHeight="1" x14ac:dyDescent="0.2"/>
    <row r="271" spans="2:43" ht="15" hidden="1" customHeight="1" x14ac:dyDescent="0.2"/>
    <row r="272" spans="2:43"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svXCI2HKKF5ecWYQb2FLhf1zswTexshr2n/bUX9VsFa2hRPtfM/DP5ZqCBBZLDwbSqpMPJ41L52iP4DB0J+mGA==" saltValue="AH7lVpTU36qhGyCHgSrHV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193" priority="249" operator="equal">
      <formula>"Same distinctiveness band or better"</formula>
    </cfRule>
    <cfRule type="cellIs" dxfId="192" priority="250" operator="equal">
      <formula>"Like for like or better"</formula>
    </cfRule>
    <cfRule type="cellIs" dxfId="191" priority="251" operator="equal">
      <formula>"Like for Like"</formula>
    </cfRule>
  </conditionalFormatting>
  <conditionalFormatting sqref="N12:R12 V12:AG12 T12:T257 Q13:R37 V13:W43 N13:P257 X13:AG257 Q38:S257 U44:W257">
    <cfRule type="containsText" dxfId="190" priority="248" operator="containsText" text="Error">
      <formula>NOT(ISERROR(SEARCH("Error",N12)))</formula>
    </cfRule>
  </conditionalFormatting>
  <conditionalFormatting sqref="O3">
    <cfRule type="containsText" dxfId="189" priority="17" operator="containsText" text="Error">
      <formula>NOT(ISERROR(SEARCH("Error",O3)))</formula>
    </cfRule>
    <cfRule type="containsText" dxfId="188" priority="18" operator="containsText" text="Check">
      <formula>NOT(ISERROR(SEARCH("Check",O3)))</formula>
    </cfRule>
  </conditionalFormatting>
  <conditionalFormatting sqref="O4">
    <cfRule type="cellIs" dxfId="187" priority="1" operator="equal">
      <formula>0</formula>
    </cfRule>
    <cfRule type="containsText" dxfId="186" priority="2" operator="containsText" text="Error">
      <formula>NOT(ISERROR(SEARCH("Error",O4)))</formula>
    </cfRule>
    <cfRule type="containsText" dxfId="185" priority="3" operator="containsText" text="Check">
      <formula>NOT(ISERROR(SEARCH("Check",O4)))</formula>
    </cfRule>
    <cfRule type="cellIs" dxfId="184" priority="13" operator="greaterThanOrEqual">
      <formula>0.1</formula>
    </cfRule>
    <cfRule type="cellIs" dxfId="183" priority="14" operator="lessThan">
      <formula>0</formula>
    </cfRule>
  </conditionalFormatting>
  <conditionalFormatting sqref="O5">
    <cfRule type="containsText" dxfId="181" priority="11" operator="containsText" text="No">
      <formula>NOT(ISERROR(SEARCH("No",O5)))</formula>
    </cfRule>
    <cfRule type="containsText" dxfId="180" priority="12" operator="containsText" text="Yes">
      <formula>NOT(ISERROR(SEARCH("Yes",O5)))</formula>
    </cfRule>
  </conditionalFormatting>
  <conditionalFormatting sqref="T12:T257 N12:R12 V12:AG12 Q13:R37 V13:W43 N13:P257 X13:AG257 Q38:S257 U44:W257">
    <cfRule type="containsText" dxfId="179" priority="244" operator="containsText" text="30+">
      <formula>NOT(ISERROR(SEARCH("30+",N12)))</formula>
    </cfRule>
    <cfRule type="beginsWith" dxfId="178" priority="245" operator="beginsWith" text="No">
      <formula>LEFT(N12,LEN("No"))="No"</formula>
    </cfRule>
    <cfRule type="containsText" dxfId="177" priority="246" operator="containsText" text="Spatial">
      <formula>NOT(ISERROR(SEARCH("Spatial",N12)))</formula>
    </cfRule>
    <cfRule type="containsText" dxfId="176" priority="247" operator="containsText" text="Check">
      <formula>NOT(ISERROR(SEARCH("Check",N12)))</formula>
    </cfRule>
  </conditionalFormatting>
  <conditionalFormatting sqref="T12:T257">
    <cfRule type="containsText" dxfId="175" priority="10" operator="containsText" text="Not possible">
      <formula>NOT(ISERROR(SEARCH("Not possible",T12)))</formula>
    </cfRule>
  </conditionalFormatting>
  <conditionalFormatting sqref="U12:U43">
    <cfRule type="containsText" dxfId="174" priority="19" operator="containsText" text="Error">
      <formula>NOT(ISERROR(SEARCH("Error",U12)))</formula>
    </cfRule>
  </conditionalFormatting>
  <conditionalFormatting sqref="X2">
    <cfRule type="containsText" dxfId="173" priority="243" operator="containsText" text="Note">
      <formula>NOT(ISERROR(SEARCH("Note",X2)))</formula>
    </cfRule>
  </conditionalFormatting>
  <conditionalFormatting sqref="AH12:AH257">
    <cfRule type="containsText" dxfId="172" priority="240" operator="containsText" text="Existing Value Not Required">
      <formula>NOT(ISERROR(SEARCH("Existing Value Not Required",AH12)))</formula>
    </cfRule>
    <cfRule type="containsText" dxfId="171" priority="241" operator="containsText" text="Existing Value Required">
      <formula>NOT(ISERROR(SEARCH("Existing Value Required",AH12)))</formula>
    </cfRule>
  </conditionalFormatting>
  <conditionalFormatting sqref="AH12:AK257">
    <cfRule type="containsText" dxfId="170" priority="9" operator="containsText" text="Error">
      <formula>NOT(ISERROR(SEARCH("Error",AH12)))</formula>
    </cfRule>
  </conditionalFormatting>
  <conditionalFormatting sqref="AI12:AK257">
    <cfRule type="containsText" dxfId="169" priority="5" operator="containsText" text="30+">
      <formula>NOT(ISERROR(SEARCH("30+",AI12)))</formula>
    </cfRule>
    <cfRule type="beginsWith" dxfId="168" priority="6" operator="beginsWith" text="No">
      <formula>LEFT(AI12,LEN("No"))="No"</formula>
    </cfRule>
    <cfRule type="containsText" dxfId="167" priority="7" operator="containsText" text="Spatial">
      <formula>NOT(ISERROR(SEARCH("Spatial",AI12)))</formula>
    </cfRule>
    <cfRule type="containsText" dxfId="166" priority="8" operator="containsText" text="Check">
      <formula>NOT(ISERROR(SEARCH("Check",AI12)))</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3"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tabSelected="1" zoomScale="80" zoomScaleNormal="80" workbookViewId="0">
      <selection activeCell="D13" sqref="D13"/>
    </sheetView>
  </sheetViews>
  <sheetFormatPr defaultColWidth="8.7109375" defaultRowHeight="0" customHeight="1" zeroHeight="1" x14ac:dyDescent="0.2"/>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85546875" style="30" customWidth="1"/>
    <col min="8" max="8" width="14.28515625" style="30" bestFit="1" customWidth="1"/>
    <col min="9" max="9" width="11.7109375" style="30" customWidth="1"/>
    <col min="10" max="10" width="33.7109375" style="30" customWidth="1"/>
    <col min="11" max="12" width="14.85546875" style="30" customWidth="1"/>
    <col min="13" max="13" width="17.28515625" style="30" customWidth="1"/>
    <col min="14" max="14" width="13.5703125" style="30" customWidth="1"/>
    <col min="15" max="15" width="25.140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140625" style="30" customWidth="1"/>
    <col min="24" max="24" width="19.140625" style="30" customWidth="1"/>
    <col min="25" max="25" width="16.42578125" style="30" customWidth="1"/>
    <col min="26" max="26" width="17.42578125" style="30" customWidth="1"/>
    <col min="27" max="28" width="50.140625" style="30" customWidth="1"/>
    <col min="29" max="29" width="16.140625" style="30" customWidth="1"/>
    <col min="30" max="30" width="8.85546875" style="30" hidden="1" customWidth="1"/>
    <col min="31" max="31" width="6.5703125" style="30" hidden="1" customWidth="1"/>
    <col min="32" max="37" width="8.85546875" style="30" hidden="1" customWidth="1"/>
    <col min="38" max="38" width="11.85546875" style="30" hidden="1" customWidth="1"/>
    <col min="39" max="42" width="8.855468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x14ac:dyDescent="0.25">
      <c r="B1" s="30"/>
      <c r="C1" s="30"/>
    </row>
    <row r="2" spans="2:44" ht="19.5" customHeight="1" thickBot="1" x14ac:dyDescent="0.25">
      <c r="B2" s="1597" t="str">
        <f>CONCATENATE("Project Name:", " ", Start!F12, "     ", "Map Reference:", " ", Start!F55)</f>
        <v xml:space="preserve">Project Name: Botley West Solar Farm     Map Reference: </v>
      </c>
      <c r="C2" s="1600"/>
      <c r="D2" s="1598"/>
      <c r="F2" s="1592" t="s">
        <v>405</v>
      </c>
      <c r="G2" s="1604"/>
      <c r="H2" s="1604"/>
      <c r="I2" s="1604"/>
      <c r="J2" s="1593"/>
      <c r="L2" s="1515" t="str" cm="1">
        <f t="array" ref="L2">IF(OR(H10:H257 = "Fairly Good", H10:H257 = "Fairly Poor"),"A 'Fairly' Category has been used - check evidence to ensure this is appropriate ⚠", "")</f>
        <v/>
      </c>
      <c r="M2" s="1515"/>
      <c r="N2" s="1515"/>
      <c r="O2" s="1515"/>
      <c r="P2" s="1515"/>
      <c r="Q2" s="1515"/>
      <c r="R2" s="1515"/>
    </row>
    <row r="3" spans="2:44" ht="15" customHeight="1" x14ac:dyDescent="0.2">
      <c r="B3" s="1601" t="str">
        <f ca="1">MID(CELL("filename",A1),FIND("]",CELL("filename",A1))+1,256)</f>
        <v>C-1 On-Site WaterC' Baseline</v>
      </c>
      <c r="C3" s="1602"/>
      <c r="D3" s="1603"/>
      <c r="F3" s="1502" t="s">
        <v>264</v>
      </c>
      <c r="G3" s="1503"/>
      <c r="H3" s="1503"/>
      <c r="I3" s="1498">
        <f>'Headline Results'!H49</f>
        <v>43.946329363163812</v>
      </c>
      <c r="J3" s="1499"/>
      <c r="L3" s="1515"/>
      <c r="M3" s="1515"/>
      <c r="N3" s="1515"/>
      <c r="O3" s="1515"/>
      <c r="P3" s="1515"/>
      <c r="Q3" s="1515"/>
      <c r="R3" s="1515"/>
    </row>
    <row r="4" spans="2:44" ht="19.899999999999999" customHeight="1" thickBot="1" x14ac:dyDescent="0.25">
      <c r="B4" s="1512"/>
      <c r="C4" s="1513"/>
      <c r="D4" s="1514"/>
      <c r="F4" s="1580" t="s">
        <v>266</v>
      </c>
      <c r="G4" s="1581"/>
      <c r="H4" s="1581"/>
      <c r="I4" s="1574">
        <f>'Headline Results'!H53</f>
        <v>0.27744408214444821</v>
      </c>
      <c r="J4" s="1575"/>
      <c r="L4" s="1515"/>
      <c r="M4" s="1515"/>
      <c r="N4" s="1515"/>
      <c r="O4" s="1515"/>
      <c r="P4" s="1515"/>
      <c r="Q4" s="1515"/>
      <c r="R4" s="1515"/>
    </row>
    <row r="5" spans="2:44" ht="19.149999999999999" customHeight="1" thickBot="1" x14ac:dyDescent="0.25">
      <c r="B5" s="30"/>
      <c r="C5" s="30"/>
      <c r="F5" s="1579" t="s">
        <v>268</v>
      </c>
      <c r="G5" s="1576"/>
      <c r="H5" s="1576"/>
      <c r="I5" s="1576" t="str" cm="1">
        <f t="array" ref="I5">IF(OR('Trading Summary WaterC''s'!G5:H8="No ▲"), "No - check trading summary ▲", "Yes ✓")</f>
        <v>Yes ✓</v>
      </c>
      <c r="J5" s="1577"/>
      <c r="T5" s="1605" t="str">
        <f>IF(SUM(AH10:AH257)&gt;0,"Check Lengths ⚠","")</f>
        <v/>
      </c>
      <c r="U5" s="1605"/>
      <c r="V5" s="1605"/>
      <c r="W5" s="1605"/>
      <c r="X5" s="1605"/>
      <c r="Y5" s="1605"/>
      <c r="Z5" s="669"/>
    </row>
    <row r="6" spans="2:44" ht="15.75" customHeight="1" x14ac:dyDescent="0.2">
      <c r="B6" s="30"/>
      <c r="C6" s="30"/>
      <c r="T6" s="1605"/>
      <c r="U6" s="1605"/>
      <c r="V6" s="1605"/>
      <c r="W6" s="1605"/>
      <c r="X6" s="1605"/>
      <c r="Y6" s="1605"/>
      <c r="Z6" s="669"/>
    </row>
    <row r="7" spans="2:44" ht="46.15" customHeight="1" thickBot="1" x14ac:dyDescent="0.25"/>
    <row r="8" spans="2:44" ht="29.25" thickBot="1" x14ac:dyDescent="0.25">
      <c r="C8" s="1533" t="s">
        <v>406</v>
      </c>
      <c r="D8" s="1533"/>
      <c r="E8" s="1533"/>
      <c r="F8" s="1549" t="s">
        <v>270</v>
      </c>
      <c r="G8" s="1549"/>
      <c r="H8" s="1549" t="s">
        <v>358</v>
      </c>
      <c r="I8" s="1549"/>
      <c r="J8" s="1533" t="s">
        <v>272</v>
      </c>
      <c r="K8" s="1533"/>
      <c r="L8" s="1533"/>
      <c r="M8" s="1549" t="s">
        <v>407</v>
      </c>
      <c r="N8" s="1549"/>
      <c r="O8" s="1549" t="s">
        <v>408</v>
      </c>
      <c r="P8" s="1549"/>
      <c r="Q8" s="1531" t="s">
        <v>273</v>
      </c>
      <c r="R8" s="134" t="s">
        <v>274</v>
      </c>
      <c r="S8" s="103"/>
      <c r="T8" s="1533" t="s">
        <v>275</v>
      </c>
      <c r="U8" s="1533"/>
      <c r="V8" s="1533"/>
      <c r="W8" s="1533"/>
      <c r="X8" s="1533"/>
      <c r="Y8" s="1533"/>
      <c r="Z8" s="1534" t="s">
        <v>276</v>
      </c>
      <c r="AA8" s="1545" t="s">
        <v>277</v>
      </c>
      <c r="AB8" s="1545"/>
      <c r="AD8" s="37" t="s">
        <v>267</v>
      </c>
      <c r="AE8" s="37" t="s">
        <v>267</v>
      </c>
    </row>
    <row r="9" spans="2:44" ht="52.5" customHeight="1" thickBot="1" x14ac:dyDescent="0.25">
      <c r="C9" s="132" t="s">
        <v>340</v>
      </c>
      <c r="D9" s="811" t="s">
        <v>193</v>
      </c>
      <c r="E9" s="752" t="s">
        <v>34</v>
      </c>
      <c r="F9" s="132" t="s">
        <v>270</v>
      </c>
      <c r="G9" s="752" t="s">
        <v>287</v>
      </c>
      <c r="H9" s="132" t="s">
        <v>271</v>
      </c>
      <c r="I9" s="752" t="s">
        <v>287</v>
      </c>
      <c r="J9" s="132" t="s">
        <v>272</v>
      </c>
      <c r="K9" s="811" t="s">
        <v>272</v>
      </c>
      <c r="L9" s="752" t="s">
        <v>409</v>
      </c>
      <c r="M9" s="132" t="s">
        <v>410</v>
      </c>
      <c r="N9" s="752" t="s">
        <v>411</v>
      </c>
      <c r="O9" s="132" t="s">
        <v>412</v>
      </c>
      <c r="P9" s="752" t="s">
        <v>411</v>
      </c>
      <c r="Q9" s="1531"/>
      <c r="R9" s="750" t="s">
        <v>413</v>
      </c>
      <c r="S9" s="107"/>
      <c r="T9" s="132" t="s">
        <v>385</v>
      </c>
      <c r="U9" s="811" t="s">
        <v>386</v>
      </c>
      <c r="V9" s="811" t="s">
        <v>387</v>
      </c>
      <c r="W9" s="811" t="s">
        <v>388</v>
      </c>
      <c r="X9" s="811" t="s">
        <v>414</v>
      </c>
      <c r="Y9" s="752" t="s">
        <v>415</v>
      </c>
      <c r="Z9" s="1567"/>
      <c r="AA9" s="719" t="s">
        <v>416</v>
      </c>
      <c r="AB9" s="719" t="s">
        <v>297</v>
      </c>
      <c r="AC9" s="48" t="s">
        <v>298</v>
      </c>
      <c r="AD9" s="50" t="s">
        <v>299</v>
      </c>
      <c r="AE9" s="50" t="s">
        <v>300</v>
      </c>
      <c r="AH9" s="33" t="s">
        <v>417</v>
      </c>
      <c r="AI9" s="124" t="s">
        <v>301</v>
      </c>
      <c r="AJ9" s="124" t="s">
        <v>302</v>
      </c>
      <c r="AL9" s="124" t="s">
        <v>304</v>
      </c>
      <c r="AN9" s="124" t="s">
        <v>301</v>
      </c>
      <c r="AO9" s="124" t="s">
        <v>302</v>
      </c>
      <c r="AQ9" s="101" t="s">
        <v>281</v>
      </c>
      <c r="AR9" s="101" t="s">
        <v>418</v>
      </c>
    </row>
    <row r="10" spans="2:44" ht="28.5" x14ac:dyDescent="0.2">
      <c r="C10" s="291">
        <v>1</v>
      </c>
      <c r="D10" s="337" t="s">
        <v>198</v>
      </c>
      <c r="E10" s="53">
        <v>2.631317882140392E-2</v>
      </c>
      <c r="F10" s="362" t="str">
        <f>IF(D10="","",VLOOKUP(D10,'G-7 WaterC'' Data'!$B$2:$G$8,2,FALSE))</f>
        <v>Medium</v>
      </c>
      <c r="G10" s="363">
        <f>IFERROR(VLOOKUP(F10,'G-7 WaterC'' Data'!$C$4:$D$8,2,FALSE),"")</f>
        <v>4</v>
      </c>
      <c r="H10" s="54" t="s">
        <v>329</v>
      </c>
      <c r="I10" s="363">
        <f>IFERROR(INDEX('G-7 WaterC'' Data'!$H$4:$L$8,MATCH(D10,'G-7 WaterC'' Data'!$B$4:$B$8,0),MATCH(H10,'G-7 WaterC'' Data'!$H$3:$L$3,0)),"")</f>
        <v>1</v>
      </c>
      <c r="J10" s="320" t="s">
        <v>1029</v>
      </c>
      <c r="K10" s="362" t="str">
        <f>IF(J10="","",IF(VLOOKUP(J10,'G-7 WaterC'' Data'!$AK$4:$AM$6,2,FALSE)=0,"Spatial Data Missing ⚠",VLOOKUP(J10,'G-7 WaterC'' Data'!$AK$4:$AM$6,2,FALSE)))</f>
        <v xml:space="preserve">High strategic significance </v>
      </c>
      <c r="L10" s="368">
        <f>IF(J10="","",IF(VLOOKUP(J10,'G-7 WaterC'' Data'!$AK$4:$AM$9,3,FALSE)=0,"Spatial Data Missing ⚠",VLOOKUP(J10,'G-7 WaterC'' Data'!$AK$4:$AM$6,3,FALSE)))</f>
        <v>1.1499999999999999</v>
      </c>
      <c r="M10" s="54" t="s">
        <v>1126</v>
      </c>
      <c r="N10" s="363">
        <f>IF(M10="","",IF(VLOOKUP(M10,'G-7 WaterC'' Data'!$AA$4:$AB$7,2,FALSE)=0,"Spatial Data Missing ⚠",VLOOKUP(M10,'G-7 WaterC'' Data'!$AA$4:$AB$7,2,FALSE)))</f>
        <v>1</v>
      </c>
      <c r="O10" s="60" t="s">
        <v>1127</v>
      </c>
      <c r="P10" s="363">
        <f>IF(O10="","",IF(VLOOKUP(O10,'G-7 WaterC'' Data'!$AD$4:$AE$14,2,FALSE)=0,"Spatial Data Missing ⚠",VLOOKUP(O10,'G-7 WaterC'' Data'!$AD$4:$AE$14,2,FALSE)))</f>
        <v>0.75</v>
      </c>
      <c r="Q10" s="369" t="str">
        <f>IF(D10="","",VLOOKUP(D10,'G-7 WaterC'' Data'!$B$2:$G$8,6,FALSE))</f>
        <v>Same habitat required =</v>
      </c>
      <c r="R10" s="376">
        <f>IFERROR(IF(D10="","",IF(AND(Q10='G-1 All Habitats'!$X$3,U10&gt;0),V10+W10,IF(AND(Q10='G-1 All Habitats'!$X$3,T10&gt;0),V10+W10,IF(AND(Q10='G-1 All Habitats'!$X$3,AD10&gt;0),"Any Loss Unacceptable ⚠",IF(AND(Q10='G-1 All Habitats'!$X$3,AE10&gt;0),"Any Loss Unacceptable ⚠", E10*G10*I10*L10*N10*P10 ))))),"Check Data ▲")</f>
        <v>9.0780466933843507E-2</v>
      </c>
      <c r="S10" s="32"/>
      <c r="T10" s="791">
        <v>0</v>
      </c>
      <c r="U10" s="801">
        <v>2.631317882140392E-2</v>
      </c>
      <c r="V10" s="802">
        <f>IFERROR(IF(T10&gt;E10,"Error in Lengths ▲",T10*G10*I10*L10*N10*P10),"")</f>
        <v>0</v>
      </c>
      <c r="W10" s="802">
        <f>IFERROR(IF(D10="","",U10*G10*I10*L10*N10*P10),"")</f>
        <v>9.0780466933843507E-2</v>
      </c>
      <c r="X10" s="802">
        <f>IFERROR(IF(D10="","", IF(AND(F10="V.High",Z10="Yes"), "Unacceptable Loss ⚠", IF(E10&gt;(T10+U10),E10-T10-U10,0))),"")</f>
        <v>0</v>
      </c>
      <c r="Y10" s="875">
        <f>IFERROR(IF(E10="","",IF((V10+W10)&gt;R10,0, IF(AND(Z10="Yes", D10="Priority habitat"), "Alternative compensation agreed ✓", IF(AND(D10="Priority habitat", U10+T10&lt;&gt;E10),"Any loss unacceptable ▲", R10-V10-W10)))),"Check Data ⚠")</f>
        <v>0</v>
      </c>
      <c r="Z10" s="876"/>
      <c r="AA10" s="703"/>
      <c r="AB10" s="137"/>
      <c r="AC10" s="137" t="s">
        <v>2002</v>
      </c>
      <c r="AD10" s="57" t="str">
        <f>IF(Q10="","",IF(Q10='G-1 All Habitats'!$X$3,E10-T10-U10,"None"))</f>
        <v>None</v>
      </c>
      <c r="AE10" s="58" t="str">
        <f>IF(Q10="","", IF(Q10='G-1 All Habitats'!$X$3, AD10*G10*I10*L10*N10*P10,"None"))</f>
        <v>None</v>
      </c>
      <c r="AH10" s="30">
        <f>IFERROR(IF(T10+U10&gt;E10,1,0),"")</f>
        <v>0</v>
      </c>
      <c r="AI10" s="124" t="b">
        <f>IF(D10="","",IF(T10&gt;0,TRUE,FALSE))</f>
        <v>0</v>
      </c>
      <c r="AJ10" s="124" t="b">
        <f>IF(D10="","",IF(U10&gt;0,TRUE,FALSE))</f>
        <v>1</v>
      </c>
      <c r="AL10" s="124">
        <v>1</v>
      </c>
      <c r="AN10" s="124">
        <f t="array" ref="AN10">IFERROR(INDEX($AL$10:$AL$258, MATCH(0, IF(TRUE=$AI$10:$AI$258, COUNTIF($AN9:$AN$9, $AL$10:$AL$258), ""), 0)),"")</f>
        <v>6</v>
      </c>
      <c r="AO10" s="124">
        <f t="array" ref="AO10">IFERROR(INDEX($AL$10:$AL$258, MATCH(0, IF(TRUE=$AJ$10:$AJ$258, COUNTIF($AO9:$AO$9, $AL$10:$AL$258), ""), 0)),"")</f>
        <v>1</v>
      </c>
      <c r="AQ10" s="30" t="str">
        <f>IFERROR(INDEX('G-7 WaterC'' Data'!$AZ$3:$AZ$7,MATCH(D10,'G-7 WaterC'' Data'!$AY$3:$AY$7,0)),"")</f>
        <v>Rivercond1</v>
      </c>
      <c r="AR10" s="30" t="str">
        <f>IFERROR(INDEX('G-7 WaterC'' Data'!AZ10:AZ14,MATCH(D10,'G-7 WaterC'' Data'!$AY$10:$AY$14,0)),"")</f>
        <v/>
      </c>
    </row>
    <row r="11" spans="2:44" ht="28.5" x14ac:dyDescent="0.2">
      <c r="C11" s="110">
        <v>2</v>
      </c>
      <c r="D11" s="337" t="s">
        <v>198</v>
      </c>
      <c r="E11" s="53">
        <v>0.32189112664318009</v>
      </c>
      <c r="F11" s="362" t="str">
        <f>IF(D11="","",VLOOKUP(D11,'G-7 WaterC'' Data'!$B$2:$G$8,2,FALSE))</f>
        <v>Medium</v>
      </c>
      <c r="G11" s="363">
        <f>IFERROR(VLOOKUP(F11,'G-7 WaterC'' Data'!$C$4:$D$8,2,FALSE),"")</f>
        <v>4</v>
      </c>
      <c r="H11" s="54" t="s">
        <v>329</v>
      </c>
      <c r="I11" s="363">
        <f>IFERROR(INDEX('G-7 WaterC'' Data'!$H$4:$L$8,MATCH(D11,'G-7 WaterC'' Data'!$B$4:$B$8,0),MATCH(H11,'G-7 WaterC'' Data'!$H$3:$L$3,0)),"")</f>
        <v>1</v>
      </c>
      <c r="J11" s="320" t="s">
        <v>1037</v>
      </c>
      <c r="K11" s="398" t="str">
        <f>IF(J11="","",IF(VLOOKUP(J11,'G-7 WaterC'' Data'!$AK$4:$AM$6,2,FALSE)=0,"Spatial Data Missing ⚠",VLOOKUP(J11,'G-7 WaterC'' Data'!$AK$4:$AM$6,2,FALSE)))</f>
        <v>Low Strategic Significance</v>
      </c>
      <c r="L11" s="368">
        <f>IF(J11="","",IF(VLOOKUP(J11,'G-7 WaterC'' Data'!$AK$4:$AM$9,3,FALSE)=0,"Spatial Data Missing ⚠",VLOOKUP(J11,'G-7 WaterC'' Data'!$AK$4:$AM$6,3,FALSE)))</f>
        <v>1</v>
      </c>
      <c r="M11" s="54" t="s">
        <v>1126</v>
      </c>
      <c r="N11" s="363">
        <f>IF(M11="","",IF(VLOOKUP(M11,'G-7 WaterC'' Data'!$AA$4:$AB$7,2,FALSE)=0,"Spatial Data Missing ⚠",VLOOKUP(M11,'G-7 WaterC'' Data'!$AA$4:$AB$7,2,FALSE)))</f>
        <v>1</v>
      </c>
      <c r="O11" s="60" t="s">
        <v>1127</v>
      </c>
      <c r="P11" s="363">
        <f>IF(O11="","",IF(VLOOKUP(O11,'G-7 WaterC'' Data'!$AD$4:$AE$14,2,FALSE)=0,"Spatial Data Missing ⚠",VLOOKUP(O11,'G-7 WaterC'' Data'!$AD$4:$AE$14,2,FALSE)))</f>
        <v>0.75</v>
      </c>
      <c r="Q11" s="369" t="str">
        <f>IF(D11="","",VLOOKUP(D11,'G-7 WaterC'' Data'!$B$2:$G$8,6,FALSE))</f>
        <v>Same habitat required =</v>
      </c>
      <c r="R11" s="376">
        <f>IFERROR(IF(D11="","",IF(AND(Q11='G-1 All Habitats'!$X$3,U11&gt;0),V11+W11,IF(AND(Q11='G-1 All Habitats'!$X$3,T11&gt;0),V11+W11,IF(AND(Q11='G-1 All Habitats'!$X$3,AD11&gt;0),"Any Loss Unacceptable ⚠",IF(AND(Q11='G-1 All Habitats'!$X$3,AE11&gt;0),"Any Loss Unacceptable ⚠", E11*G11*I11*L11*N11*P11 ))))),"Check Data ▲")</f>
        <v>0.96567337992954028</v>
      </c>
      <c r="S11" s="32"/>
      <c r="T11" s="54">
        <v>0</v>
      </c>
      <c r="U11" s="125">
        <v>0.32189112664318009</v>
      </c>
      <c r="V11" s="374">
        <f t="shared" ref="V11:V74" si="0">IFERROR(IF(T11&gt;E11,"Error in Lengths ▲",T11*G11*I11*L11*N11*P11),"")</f>
        <v>0</v>
      </c>
      <c r="W11" s="374">
        <f t="shared" ref="W11:W74" si="1">IFERROR(IF(D11="","",U11*G11*I11*L11*N11*P11),"")</f>
        <v>0.96567337992954028</v>
      </c>
      <c r="X11" s="374">
        <f t="shared" ref="X11:X74" si="2">IFERROR(IF(D11="","", IF(AND(F11="V.High",Z11="Yes"), "Unacceptable Loss ⚠", IF(E11&gt;(T11+U11),E11-T11-U11,0))),"")</f>
        <v>0</v>
      </c>
      <c r="Y11" s="670">
        <f t="shared" ref="Y11:Y74" si="3">IFERROR(IF(E11="","",IF((V11+W11)&gt;R11,0, IF(AND(Z11="Yes", D11="Priority habitat"), "Alternative compensation agreed ✓", IF(AND(D11="Priority habitat", U11+T11&lt;&gt;E11),"Any loss unacceptable ▲", R11-V11-W11)))),"Check Data ⚠")</f>
        <v>0</v>
      </c>
      <c r="Z11" s="706"/>
      <c r="AA11" s="704"/>
      <c r="AB11" s="120"/>
      <c r="AC11" s="120" t="s">
        <v>2003</v>
      </c>
      <c r="AD11" s="57" t="str">
        <f>IF(Q11="","",IF(Q11='G-1 All Habitats'!$X$3,E11-T11-U11,"None"))</f>
        <v>None</v>
      </c>
      <c r="AE11" s="58" t="str">
        <f>IF(Q11="","", IF(Q11='G-1 All Habitats'!$X$3, AD11*G11*I11*L11*N11*P11,"None"))</f>
        <v>None</v>
      </c>
      <c r="AH11" s="30">
        <f t="shared" ref="AH11:AH74" si="4">IFERROR(IF(T11+U11&gt;E11,1,0),"")</f>
        <v>0</v>
      </c>
      <c r="AI11" s="124" t="b">
        <f t="shared" ref="AI11:AI74" si="5">IF(D11="","",IF(T11&gt;0,TRUE,FALSE))</f>
        <v>0</v>
      </c>
      <c r="AJ11" s="124" t="b">
        <f t="shared" ref="AJ11:AJ74" si="6">IF(D11="","",IF(U11&gt;0,TRUE,FALSE))</f>
        <v>1</v>
      </c>
      <c r="AL11" s="124">
        <v>2</v>
      </c>
      <c r="AN11" s="124">
        <f t="array" ref="AN11">IFERROR(INDEX($AL$10:$AL$258, MATCH(0, IF(TRUE=$AI$10:$AI$258, COUNTIF($AN$9:$AN10, $AL$10:$AL$258), ""), 0)),"")</f>
        <v>8</v>
      </c>
      <c r="AO11" s="124">
        <f t="array" ref="AO11">IFERROR(INDEX($AL$10:$AL$258, MATCH(0, IF(TRUE=$AJ$10:$AJ$258, COUNTIF($AO$9:$AO10, $AL$10:$AL$258), ""), 0)),"")</f>
        <v>2</v>
      </c>
      <c r="AQ11" s="30" t="str">
        <f>IFERROR(INDEX('G-7 WaterC'' Data'!$AZ$3:$AZ$7,MATCH(D11,'G-7 WaterC'' Data'!$AY$3:$AY$7,0)),"")</f>
        <v>Rivercond1</v>
      </c>
      <c r="AR11" s="30" t="str">
        <f>IFERROR(INDEX('G-7 WaterC'' Data'!AZ11:AZ15,MATCH(D11,'G-7 WaterC'' Data'!$AY$10:$AY$14,0)),"")</f>
        <v/>
      </c>
    </row>
    <row r="12" spans="2:44" ht="28.5" x14ac:dyDescent="0.2">
      <c r="C12" s="110">
        <v>3</v>
      </c>
      <c r="D12" s="337" t="s">
        <v>198</v>
      </c>
      <c r="E12" s="53">
        <v>0.20587209566169831</v>
      </c>
      <c r="F12" s="362" t="str">
        <f>IF(D12="","",VLOOKUP(D12,'G-7 WaterC'' Data'!$B$2:$G$8,2,FALSE))</f>
        <v>Medium</v>
      </c>
      <c r="G12" s="363">
        <f>IFERROR(VLOOKUP(F12,'G-7 WaterC'' Data'!$C$4:$D$8,2,FALSE),"")</f>
        <v>4</v>
      </c>
      <c r="H12" s="54" t="s">
        <v>329</v>
      </c>
      <c r="I12" s="363">
        <f>IFERROR(INDEX('G-7 WaterC'' Data'!$H$4:$L$8,MATCH(D12,'G-7 WaterC'' Data'!$B$4:$B$8,0),MATCH(H12,'G-7 WaterC'' Data'!$H$3:$L$3,0)),"")</f>
        <v>1</v>
      </c>
      <c r="J12" s="320" t="s">
        <v>1037</v>
      </c>
      <c r="K12" s="398" t="str">
        <f>IF(J12="","",IF(VLOOKUP(J12,'G-7 WaterC'' Data'!$AK$4:$AM$6,2,FALSE)=0,"Spatial Data Missing ⚠",VLOOKUP(J12,'G-7 WaterC'' Data'!$AK$4:$AM$6,2,FALSE)))</f>
        <v>Low Strategic Significance</v>
      </c>
      <c r="L12" s="368">
        <f>IF(J12="","",IF(VLOOKUP(J12,'G-7 WaterC'' Data'!$AK$4:$AM$9,3,FALSE)=0,"Spatial Data Missing ⚠",VLOOKUP(J12,'G-7 WaterC'' Data'!$AK$4:$AM$6,3,FALSE)))</f>
        <v>1</v>
      </c>
      <c r="M12" s="54" t="s">
        <v>1126</v>
      </c>
      <c r="N12" s="363">
        <f>IF(M12="","",IF(VLOOKUP(M12,'G-7 WaterC'' Data'!$AA$4:$AB$7,2,FALSE)=0,"Spatial Data Missing ⚠",VLOOKUP(M12,'G-7 WaterC'' Data'!$AA$4:$AB$7,2,FALSE)))</f>
        <v>1</v>
      </c>
      <c r="O12" s="60" t="s">
        <v>1127</v>
      </c>
      <c r="P12" s="363">
        <f>IF(O12="","",IF(VLOOKUP(O12,'G-7 WaterC'' Data'!$AD$4:$AE$14,2,FALSE)=0,"Spatial Data Missing ⚠",VLOOKUP(O12,'G-7 WaterC'' Data'!$AD$4:$AE$14,2,FALSE)))</f>
        <v>0.75</v>
      </c>
      <c r="Q12" s="369" t="str">
        <f>IF(D12="","",VLOOKUP(D12,'G-7 WaterC'' Data'!$B$2:$G$8,6,FALSE))</f>
        <v>Same habitat required =</v>
      </c>
      <c r="R12" s="376">
        <f>IFERROR(IF(D12="","",IF(AND(Q12='G-1 All Habitats'!$X$3,U12&gt;0),V12+W12,IF(AND(Q12='G-1 All Habitats'!$X$3,T12&gt;0),V12+W12,IF(AND(Q12='G-1 All Habitats'!$X$3,AD12&gt;0),"Any Loss Unacceptable ⚠",IF(AND(Q12='G-1 All Habitats'!$X$3,AE12&gt;0),"Any Loss Unacceptable ⚠", E12*G12*I12*L12*N12*P12 ))))),"Check Data ▲")</f>
        <v>0.61761628698509496</v>
      </c>
      <c r="S12" s="32"/>
      <c r="T12" s="54">
        <v>0</v>
      </c>
      <c r="U12" s="125">
        <v>0.20587209566169831</v>
      </c>
      <c r="V12" s="374">
        <f t="shared" si="0"/>
        <v>0</v>
      </c>
      <c r="W12" s="374">
        <f t="shared" si="1"/>
        <v>0.61761628698509496</v>
      </c>
      <c r="X12" s="374">
        <f t="shared" si="2"/>
        <v>0</v>
      </c>
      <c r="Y12" s="670">
        <f t="shared" si="3"/>
        <v>0</v>
      </c>
      <c r="Z12" s="706"/>
      <c r="AA12" s="704"/>
      <c r="AB12" s="120"/>
      <c r="AC12" s="120" t="s">
        <v>2004</v>
      </c>
      <c r="AD12" s="57" t="str">
        <f>IF(Q12="","",IF(Q12='G-1 All Habitats'!$X$3,E12-T12-U12,"None"))</f>
        <v>None</v>
      </c>
      <c r="AE12" s="58" t="str">
        <f>IF(Q12="","", IF(Q12='G-1 All Habitats'!$X$3, AD12*G12*I12*L12*N12*P12,"None"))</f>
        <v>None</v>
      </c>
      <c r="AH12" s="30">
        <f t="shared" si="4"/>
        <v>0</v>
      </c>
      <c r="AI12" s="124" t="b">
        <f t="shared" si="5"/>
        <v>0</v>
      </c>
      <c r="AJ12" s="124" t="b">
        <f t="shared" si="6"/>
        <v>1</v>
      </c>
      <c r="AL12" s="124">
        <v>3</v>
      </c>
      <c r="AN12" s="124">
        <f t="array" ref="AN12">IFERROR(INDEX($AL$10:$AL$258, MATCH(0, IF(TRUE=$AI$10:$AI$258, COUNTIF($AN$9:$AN11, $AL$10:$AL$258), ""), 0)),"")</f>
        <v>20</v>
      </c>
      <c r="AO12" s="124">
        <f t="array" ref="AO12">IFERROR(INDEX($AL$10:$AL$258, MATCH(0, IF(TRUE=$AJ$10:$AJ$258, COUNTIF($AO$9:$AO11, $AL$10:$AL$258), ""), 0)),"")</f>
        <v>3</v>
      </c>
      <c r="AQ12" s="30" t="str">
        <f>IFERROR(INDEX('G-7 WaterC'' Data'!$AZ$3:$AZ$7,MATCH(D12,'G-7 WaterC'' Data'!$AY$3:$AY$7,0)),"")</f>
        <v>Rivercond1</v>
      </c>
      <c r="AR12" s="30" t="str">
        <f>IFERROR(INDEX('G-7 WaterC'' Data'!AZ12:AZ16,MATCH(D12,'G-7 WaterC'' Data'!$AY$10:$AY$14,0)),"")</f>
        <v/>
      </c>
    </row>
    <row r="13" spans="2:44" ht="28.5" x14ac:dyDescent="0.2">
      <c r="C13" s="110">
        <v>4</v>
      </c>
      <c r="D13" s="337" t="s">
        <v>198</v>
      </c>
      <c r="E13" s="53">
        <v>0.43616261407578522</v>
      </c>
      <c r="F13" s="362" t="str">
        <f>IF(D13="","",VLOOKUP(D13,'G-7 WaterC'' Data'!$B$2:$G$8,2,FALSE))</f>
        <v>Medium</v>
      </c>
      <c r="G13" s="363">
        <f>IFERROR(VLOOKUP(F13,'G-7 WaterC'' Data'!$C$4:$D$8,2,FALSE),"")</f>
        <v>4</v>
      </c>
      <c r="H13" s="54" t="s">
        <v>329</v>
      </c>
      <c r="I13" s="363">
        <f>IFERROR(INDEX('G-7 WaterC'' Data'!$H$4:$L$8,MATCH(D13,'G-7 WaterC'' Data'!$B$4:$B$8,0),MATCH(H13,'G-7 WaterC'' Data'!$H$3:$L$3,0)),"")</f>
        <v>1</v>
      </c>
      <c r="J13" s="320" t="s">
        <v>1037</v>
      </c>
      <c r="K13" s="398" t="str">
        <f>IF(J13="","",IF(VLOOKUP(J13,'G-7 WaterC'' Data'!$AK$4:$AM$6,2,FALSE)=0,"Spatial Data Missing ⚠",VLOOKUP(J13,'G-7 WaterC'' Data'!$AK$4:$AM$6,2,FALSE)))</f>
        <v>Low Strategic Significance</v>
      </c>
      <c r="L13" s="368">
        <f>IF(J13="","",IF(VLOOKUP(J13,'G-7 WaterC'' Data'!$AK$4:$AM$9,3,FALSE)=0,"Spatial Data Missing ⚠",VLOOKUP(J13,'G-7 WaterC'' Data'!$AK$4:$AM$6,3,FALSE)))</f>
        <v>1</v>
      </c>
      <c r="M13" s="54" t="s">
        <v>1126</v>
      </c>
      <c r="N13" s="363">
        <f>IF(M13="","",IF(VLOOKUP(M13,'G-7 WaterC'' Data'!$AA$4:$AB$7,2,FALSE)=0,"Spatial Data Missing ⚠",VLOOKUP(M13,'G-7 WaterC'' Data'!$AA$4:$AB$7,2,FALSE)))</f>
        <v>1</v>
      </c>
      <c r="O13" s="60" t="s">
        <v>1127</v>
      </c>
      <c r="P13" s="363">
        <f>IF(O13="","",IF(VLOOKUP(O13,'G-7 WaterC'' Data'!$AD$4:$AE$14,2,FALSE)=0,"Spatial Data Missing ⚠",VLOOKUP(O13,'G-7 WaterC'' Data'!$AD$4:$AE$14,2,FALSE)))</f>
        <v>0.75</v>
      </c>
      <c r="Q13" s="369" t="str">
        <f>IF(D13="","",VLOOKUP(D13,'G-7 WaterC'' Data'!$B$2:$G$8,6,FALSE))</f>
        <v>Same habitat required =</v>
      </c>
      <c r="R13" s="376">
        <f>IFERROR(IF(D13="","",IF(AND(Q13='G-1 All Habitats'!$X$3,U13&gt;0),V13+W13,IF(AND(Q13='G-1 All Habitats'!$X$3,T13&gt;0),V13+W13,IF(AND(Q13='G-1 All Habitats'!$X$3,AD13&gt;0),"Any Loss Unacceptable ⚠",IF(AND(Q13='G-1 All Habitats'!$X$3,AE13&gt;0),"Any Loss Unacceptable ⚠", E13*G13*I13*L13*N13*P13 ))))),"Check Data ▲")</f>
        <v>1.3084878422273556</v>
      </c>
      <c r="S13" s="32"/>
      <c r="T13" s="54">
        <v>0</v>
      </c>
      <c r="U13" s="125">
        <v>0.43616261407578522</v>
      </c>
      <c r="V13" s="374">
        <f t="shared" si="0"/>
        <v>0</v>
      </c>
      <c r="W13" s="374">
        <f t="shared" si="1"/>
        <v>1.3084878422273556</v>
      </c>
      <c r="X13" s="374">
        <f t="shared" si="2"/>
        <v>0</v>
      </c>
      <c r="Y13" s="670">
        <f t="shared" si="3"/>
        <v>0</v>
      </c>
      <c r="Z13" s="706"/>
      <c r="AA13" s="704"/>
      <c r="AB13" s="120"/>
      <c r="AC13" s="120" t="s">
        <v>2005</v>
      </c>
      <c r="AD13" s="57" t="str">
        <f>IF(Q13="","",IF(Q13='G-1 All Habitats'!$X$3,E13-T13-U13,"None"))</f>
        <v>None</v>
      </c>
      <c r="AE13" s="58" t="str">
        <f>IF(Q13="","", IF(Q13='G-1 All Habitats'!$X$3, AD13*G13*I13*L13*N13*P13,"None"))</f>
        <v>None</v>
      </c>
      <c r="AH13" s="30">
        <f t="shared" si="4"/>
        <v>0</v>
      </c>
      <c r="AI13" s="124" t="b">
        <f t="shared" si="5"/>
        <v>0</v>
      </c>
      <c r="AJ13" s="124" t="b">
        <f t="shared" si="6"/>
        <v>1</v>
      </c>
      <c r="AL13" s="124">
        <v>4</v>
      </c>
      <c r="AN13" s="124">
        <f t="array" ref="AN13">IFERROR(INDEX($AL$10:$AL$258, MATCH(0, IF(TRUE=$AI$10:$AI$258, COUNTIF($AN$9:$AN12, $AL$10:$AL$258), ""), 0)),"")</f>
        <v>21</v>
      </c>
      <c r="AO13" s="124">
        <f t="array" ref="AO13">IFERROR(INDEX($AL$10:$AL$258, MATCH(0, IF(TRUE=$AJ$10:$AJ$258, COUNTIF($AO$9:$AO12, $AL$10:$AL$258), ""), 0)),"")</f>
        <v>4</v>
      </c>
      <c r="AQ13" s="30" t="str">
        <f>IFERROR(INDEX('G-7 WaterC'' Data'!$AZ$3:$AZ$7,MATCH(D13,'G-7 WaterC'' Data'!$AY$3:$AY$7,0)),"")</f>
        <v>Rivercond1</v>
      </c>
      <c r="AR13" s="30" t="str">
        <f>IFERROR(INDEX('G-7 WaterC'' Data'!AZ13:AZ17,MATCH(D13,'G-7 WaterC'' Data'!$AY$10:$AY$14,0)),"")</f>
        <v/>
      </c>
    </row>
    <row r="14" spans="2:44" ht="28.5" x14ac:dyDescent="0.2">
      <c r="C14" s="110">
        <v>5</v>
      </c>
      <c r="D14" s="337" t="s">
        <v>198</v>
      </c>
      <c r="E14" s="139">
        <v>0.34604732053178205</v>
      </c>
      <c r="F14" s="362" t="str">
        <f>IF(D14="","",VLOOKUP(D14,'G-7 WaterC'' Data'!$B$2:$G$8,2,FALSE))</f>
        <v>Medium</v>
      </c>
      <c r="G14" s="363">
        <f>IFERROR(VLOOKUP(F14,'G-7 WaterC'' Data'!$C$4:$D$8,2,FALSE),"")</f>
        <v>4</v>
      </c>
      <c r="H14" s="114" t="s">
        <v>329</v>
      </c>
      <c r="I14" s="363">
        <f>IFERROR(INDEX('G-7 WaterC'' Data'!$H$4:$L$8,MATCH(D14,'G-7 WaterC'' Data'!$B$4:$B$8,0),MATCH(H14,'G-7 WaterC'' Data'!$H$3:$L$3,0)),"")</f>
        <v>1</v>
      </c>
      <c r="J14" s="320" t="s">
        <v>1037</v>
      </c>
      <c r="K14" s="398" t="str">
        <f>IF(J14="","",IF(VLOOKUP(J14,'G-7 WaterC'' Data'!$AK$4:$AM$6,2,FALSE)=0,"Spatial Data Missing ⚠",VLOOKUP(J14,'G-7 WaterC'' Data'!$AK$4:$AM$6,2,FALSE)))</f>
        <v>Low Strategic Significance</v>
      </c>
      <c r="L14" s="368">
        <f>IF(J14="","",IF(VLOOKUP(J14,'G-7 WaterC'' Data'!$AK$4:$AM$9,3,FALSE)=0,"Spatial Data Missing ⚠",VLOOKUP(J14,'G-7 WaterC'' Data'!$AK$4:$AM$6,3,FALSE)))</f>
        <v>1</v>
      </c>
      <c r="M14" s="54" t="s">
        <v>1126</v>
      </c>
      <c r="N14" s="363">
        <f>IF(M14="","",IF(VLOOKUP(M14,'G-7 WaterC'' Data'!$AA$4:$AB$7,2,FALSE)=0,"Spatial Data Missing ⚠",VLOOKUP(M14,'G-7 WaterC'' Data'!$AA$4:$AB$7,2,FALSE)))</f>
        <v>1</v>
      </c>
      <c r="O14" s="60" t="s">
        <v>1127</v>
      </c>
      <c r="P14" s="363">
        <f>IF(O14="","",IF(VLOOKUP(O14,'G-7 WaterC'' Data'!$AD$4:$AE$14,2,FALSE)=0,"Spatial Data Missing ⚠",VLOOKUP(O14,'G-7 WaterC'' Data'!$AD$4:$AE$14,2,FALSE)))</f>
        <v>0.75</v>
      </c>
      <c r="Q14" s="369" t="str">
        <f>IF(D14="","",VLOOKUP(D14,'G-7 WaterC'' Data'!$B$2:$G$8,6,FALSE))</f>
        <v>Same habitat required =</v>
      </c>
      <c r="R14" s="376">
        <f>IFERROR(IF(D14="","",IF(AND(Q14='G-1 All Habitats'!$X$3,U14&gt;0),V14+W14,IF(AND(Q14='G-1 All Habitats'!$X$3,T14&gt;0),V14+W14,IF(AND(Q14='G-1 All Habitats'!$X$3,AD14&gt;0),"Any Loss Unacceptable ⚠",IF(AND(Q14='G-1 All Habitats'!$X$3,AE14&gt;0),"Any Loss Unacceptable ⚠", E14*G14*I14*L14*N14*P14 ))))),"Check Data ▲")</f>
        <v>1.0381419615953462</v>
      </c>
      <c r="S14" s="32"/>
      <c r="T14" s="54">
        <v>0</v>
      </c>
      <c r="U14" s="125">
        <v>0.34604732053178205</v>
      </c>
      <c r="V14" s="374">
        <f t="shared" si="0"/>
        <v>0</v>
      </c>
      <c r="W14" s="374">
        <f t="shared" si="1"/>
        <v>1.0381419615953462</v>
      </c>
      <c r="X14" s="374">
        <f t="shared" si="2"/>
        <v>0</v>
      </c>
      <c r="Y14" s="670">
        <f t="shared" si="3"/>
        <v>0</v>
      </c>
      <c r="Z14" s="706"/>
      <c r="AA14" s="704"/>
      <c r="AB14" s="120"/>
      <c r="AC14" s="120" t="s">
        <v>2006</v>
      </c>
      <c r="AD14" s="57" t="str">
        <f>IF(Q14="","",IF(Q14='G-1 All Habitats'!$X$3,E14-T14-U14,"None"))</f>
        <v>None</v>
      </c>
      <c r="AE14" s="58" t="str">
        <f>IF(Q14="","", IF(Q14='G-1 All Habitats'!$X$3, AD14*G14*I14*L14*N14*P14,"None"))</f>
        <v>None</v>
      </c>
      <c r="AH14" s="30">
        <f t="shared" si="4"/>
        <v>0</v>
      </c>
      <c r="AI14" s="124" t="b">
        <f t="shared" si="5"/>
        <v>0</v>
      </c>
      <c r="AJ14" s="124" t="b">
        <f t="shared" si="6"/>
        <v>1</v>
      </c>
      <c r="AL14" s="124">
        <v>5</v>
      </c>
      <c r="AN14" s="124">
        <f t="array" ref="AN14">IFERROR(INDEX($AL$10:$AL$258, MATCH(0, IF(TRUE=$AI$10:$AI$258, COUNTIF($AN$9:$AN13, $AL$10:$AL$258), ""), 0)),"")</f>
        <v>34</v>
      </c>
      <c r="AO14" s="124">
        <f t="array" ref="AO14">IFERROR(INDEX($AL$10:$AL$258, MATCH(0, IF(TRUE=$AJ$10:$AJ$258, COUNTIF($AO$9:$AO13, $AL$10:$AL$258), ""), 0)),"")</f>
        <v>5</v>
      </c>
      <c r="AQ14" s="30" t="str">
        <f>IFERROR(INDEX('G-7 WaterC'' Data'!$AZ$3:$AZ$7,MATCH(D14,'G-7 WaterC'' Data'!$AY$3:$AY$7,0)),"")</f>
        <v>Rivercond1</v>
      </c>
      <c r="AR14" s="30" t="str">
        <f>IFERROR(INDEX('G-7 WaterC'' Data'!AZ14:AZ18,MATCH(D14,'G-7 WaterC'' Data'!$AY$10:$AY$14,0)),"")</f>
        <v/>
      </c>
    </row>
    <row r="15" spans="2:44" ht="28.5" x14ac:dyDescent="0.2">
      <c r="C15" s="110">
        <v>6</v>
      </c>
      <c r="D15" s="337" t="s">
        <v>198</v>
      </c>
      <c r="E15" s="139">
        <v>3.3928138284287874E-4</v>
      </c>
      <c r="F15" s="362" t="str">
        <f>IF(D15="","",VLOOKUP(D15,'G-7 WaterC'' Data'!$B$2:$G$8,2,FALSE))</f>
        <v>Medium</v>
      </c>
      <c r="G15" s="363">
        <f>IFERROR(VLOOKUP(F15,'G-7 WaterC'' Data'!$C$4:$D$8,2,FALSE),"")</f>
        <v>4</v>
      </c>
      <c r="H15" s="114" t="s">
        <v>329</v>
      </c>
      <c r="I15" s="363">
        <f>IFERROR(INDEX('G-7 WaterC'' Data'!$H$4:$L$8,MATCH(D15,'G-7 WaterC'' Data'!$B$4:$B$8,0),MATCH(H15,'G-7 WaterC'' Data'!$H$3:$L$3,0)),"")</f>
        <v>1</v>
      </c>
      <c r="J15" s="320" t="s">
        <v>1037</v>
      </c>
      <c r="K15" s="398" t="str">
        <f>IF(J15="","",IF(VLOOKUP(J15,'G-7 WaterC'' Data'!$AK$4:$AM$6,2,FALSE)=0,"Spatial Data Missing ⚠",VLOOKUP(J15,'G-7 WaterC'' Data'!$AK$4:$AM$6,2,FALSE)))</f>
        <v>Low Strategic Significance</v>
      </c>
      <c r="L15" s="368">
        <f>IF(J15="","",IF(VLOOKUP(J15,'G-7 WaterC'' Data'!$AK$4:$AM$9,3,FALSE)=0,"Spatial Data Missing ⚠",VLOOKUP(J15,'G-7 WaterC'' Data'!$AK$4:$AM$6,3,FALSE)))</f>
        <v>1</v>
      </c>
      <c r="M15" s="54" t="s">
        <v>1126</v>
      </c>
      <c r="N15" s="363">
        <f>IF(M15="","",IF(VLOOKUP(M15,'G-7 WaterC'' Data'!$AA$4:$AB$7,2,FALSE)=0,"Spatial Data Missing ⚠",VLOOKUP(M15,'G-7 WaterC'' Data'!$AA$4:$AB$7,2,FALSE)))</f>
        <v>1</v>
      </c>
      <c r="O15" s="60" t="s">
        <v>1127</v>
      </c>
      <c r="P15" s="363">
        <f>IF(O15="","",IF(VLOOKUP(O15,'G-7 WaterC'' Data'!$AD$4:$AE$14,2,FALSE)=0,"Spatial Data Missing ⚠",VLOOKUP(O15,'G-7 WaterC'' Data'!$AD$4:$AE$14,2,FALSE)))</f>
        <v>0.75</v>
      </c>
      <c r="Q15" s="369" t="str">
        <f>IF(D15="","",VLOOKUP(D15,'G-7 WaterC'' Data'!$B$2:$G$8,6,FALSE))</f>
        <v>Same habitat required =</v>
      </c>
      <c r="R15" s="376">
        <f>IFERROR(IF(D15="","",IF(AND(Q15='G-1 All Habitats'!$X$3,U15&gt;0),V15+W15,IF(AND(Q15='G-1 All Habitats'!$X$3,T15&gt;0),V15+W15,IF(AND(Q15='G-1 All Habitats'!$X$3,AD15&gt;0),"Any Loss Unacceptable ⚠",IF(AND(Q15='G-1 All Habitats'!$X$3,AE15&gt;0),"Any Loss Unacceptable ⚠", E15*G15*I15*L15*N15*P15 ))))),"Check Data ▲")</f>
        <v>1.0178441485286362E-3</v>
      </c>
      <c r="S15" s="32"/>
      <c r="T15" s="114">
        <v>3.3928138284287874E-4</v>
      </c>
      <c r="U15" s="125">
        <v>0</v>
      </c>
      <c r="V15" s="374">
        <f t="shared" si="0"/>
        <v>1.0178441485286362E-3</v>
      </c>
      <c r="W15" s="374">
        <f t="shared" si="1"/>
        <v>0</v>
      </c>
      <c r="X15" s="374">
        <f t="shared" si="2"/>
        <v>0</v>
      </c>
      <c r="Y15" s="670">
        <f t="shared" si="3"/>
        <v>0</v>
      </c>
      <c r="Z15" s="706"/>
      <c r="AA15" s="704"/>
      <c r="AB15" s="120"/>
      <c r="AC15" s="120" t="s">
        <v>2007</v>
      </c>
      <c r="AD15" s="57" t="str">
        <f>IF(Q15="","",IF(Q15='G-1 All Habitats'!$X$3,E15-T15-U15,"None"))</f>
        <v>None</v>
      </c>
      <c r="AE15" s="58" t="str">
        <f>IF(Q15="","", IF(Q15='G-1 All Habitats'!$X$3, AD15*G15*I15*L15*N15*P15,"None"))</f>
        <v>None</v>
      </c>
      <c r="AH15" s="30">
        <f t="shared" si="4"/>
        <v>0</v>
      </c>
      <c r="AI15" s="124" t="b">
        <f t="shared" si="5"/>
        <v>1</v>
      </c>
      <c r="AJ15" s="124" t="b">
        <f t="shared" si="6"/>
        <v>0</v>
      </c>
      <c r="AL15" s="124">
        <v>6</v>
      </c>
      <c r="AN15" s="124">
        <f t="array" ref="AN15">IFERROR(INDEX($AL$10:$AL$258, MATCH(0, IF(TRUE=$AI$10:$AI$258, COUNTIF($AN$9:$AN14, $AL$10:$AL$258), ""), 0)),"")</f>
        <v>86</v>
      </c>
      <c r="AO15" s="124">
        <f t="array" ref="AO15">IFERROR(INDEX($AL$10:$AL$258, MATCH(0, IF(TRUE=$AJ$10:$AJ$258, COUNTIF($AO$9:$AO14, $AL$10:$AL$258), ""), 0)),"")</f>
        <v>7</v>
      </c>
      <c r="AQ15" s="30" t="str">
        <f>IFERROR(INDEX('G-7 WaterC'' Data'!$AZ$3:$AZ$7,MATCH(D15,'G-7 WaterC'' Data'!$AY$3:$AY$7,0)),"")</f>
        <v>Rivercond1</v>
      </c>
      <c r="AR15" s="30" t="str">
        <f>IFERROR(INDEX('G-7 WaterC'' Data'!AZ15:AZ19,MATCH(D15,'G-7 WaterC'' Data'!$AY$10:$AY$14,0)),"")</f>
        <v/>
      </c>
    </row>
    <row r="16" spans="2:44" ht="28.5" x14ac:dyDescent="0.2">
      <c r="C16" s="110">
        <v>7</v>
      </c>
      <c r="D16" s="337" t="s">
        <v>198</v>
      </c>
      <c r="E16" s="139">
        <v>2.2191053641559302E-5</v>
      </c>
      <c r="F16" s="362" t="str">
        <f>IF(D16="","",VLOOKUP(D16,'G-7 WaterC'' Data'!$B$2:$G$8,2,FALSE))</f>
        <v>Medium</v>
      </c>
      <c r="G16" s="363">
        <f>IFERROR(VLOOKUP(F16,'G-7 WaterC'' Data'!$C$4:$D$8,2,FALSE),"")</f>
        <v>4</v>
      </c>
      <c r="H16" s="114" t="s">
        <v>329</v>
      </c>
      <c r="I16" s="363">
        <f>IFERROR(INDEX('G-7 WaterC'' Data'!$H$4:$L$8,MATCH(D16,'G-7 WaterC'' Data'!$B$4:$B$8,0),MATCH(H16,'G-7 WaterC'' Data'!$H$3:$L$3,0)),"")</f>
        <v>1</v>
      </c>
      <c r="J16" s="320" t="s">
        <v>1029</v>
      </c>
      <c r="K16" s="398" t="str">
        <f>IF(J16="","",IF(VLOOKUP(J16,'G-7 WaterC'' Data'!$AK$4:$AM$6,2,FALSE)=0,"Spatial Data Missing ⚠",VLOOKUP(J16,'G-7 WaterC'' Data'!$AK$4:$AM$6,2,FALSE)))</f>
        <v xml:space="preserve">High strategic significance </v>
      </c>
      <c r="L16" s="368">
        <f>IF(J16="","",IF(VLOOKUP(J16,'G-7 WaterC'' Data'!$AK$4:$AM$9,3,FALSE)=0,"Spatial Data Missing ⚠",VLOOKUP(J16,'G-7 WaterC'' Data'!$AK$4:$AM$6,3,FALSE)))</f>
        <v>1.1499999999999999</v>
      </c>
      <c r="M16" s="54" t="s">
        <v>1126</v>
      </c>
      <c r="N16" s="363">
        <f>IF(M16="","",IF(VLOOKUP(M16,'G-7 WaterC'' Data'!$AA$4:$AB$7,2,FALSE)=0,"Spatial Data Missing ⚠",VLOOKUP(M16,'G-7 WaterC'' Data'!$AA$4:$AB$7,2,FALSE)))</f>
        <v>1</v>
      </c>
      <c r="O16" s="60" t="s">
        <v>1127</v>
      </c>
      <c r="P16" s="363">
        <f>IF(O16="","",IF(VLOOKUP(O16,'G-7 WaterC'' Data'!$AD$4:$AE$14,2,FALSE)=0,"Spatial Data Missing ⚠",VLOOKUP(O16,'G-7 WaterC'' Data'!$AD$4:$AE$14,2,FALSE)))</f>
        <v>0.75</v>
      </c>
      <c r="Q16" s="369" t="str">
        <f>IF(D16="","",VLOOKUP(D16,'G-7 WaterC'' Data'!$B$2:$G$8,6,FALSE))</f>
        <v>Same habitat required =</v>
      </c>
      <c r="R16" s="376">
        <f>IFERROR(IF(D16="","",IF(AND(Q16='G-1 All Habitats'!$X$3,U16&gt;0),V16+W16,IF(AND(Q16='G-1 All Habitats'!$X$3,T16&gt;0),V16+W16,IF(AND(Q16='G-1 All Habitats'!$X$3,AD16&gt;0),"Any Loss Unacceptable ⚠",IF(AND(Q16='G-1 All Habitats'!$X$3,AE16&gt;0),"Any Loss Unacceptable ⚠", E16*G16*I16*L16*N16*P16 ))))),"Check Data ▲")</f>
        <v>7.6559135063379585E-5</v>
      </c>
      <c r="S16" s="32"/>
      <c r="T16" s="114">
        <v>0</v>
      </c>
      <c r="U16" s="125">
        <v>2.2191053641559302E-5</v>
      </c>
      <c r="V16" s="374">
        <f t="shared" si="0"/>
        <v>0</v>
      </c>
      <c r="W16" s="374">
        <f t="shared" si="1"/>
        <v>7.6559135063379585E-5</v>
      </c>
      <c r="X16" s="374">
        <f t="shared" si="2"/>
        <v>0</v>
      </c>
      <c r="Y16" s="670">
        <f t="shared" si="3"/>
        <v>0</v>
      </c>
      <c r="Z16" s="706"/>
      <c r="AA16" s="704"/>
      <c r="AB16" s="120"/>
      <c r="AC16" s="120" t="s">
        <v>2008</v>
      </c>
      <c r="AD16" s="57" t="str">
        <f>IF(Q16="","",IF(Q16='G-1 All Habitats'!$X$3,E16-T16-U16,"None"))</f>
        <v>None</v>
      </c>
      <c r="AE16" s="58" t="str">
        <f>IF(Q16="","", IF(Q16='G-1 All Habitats'!$X$3, AD16*G16*I16*L16*N16*P16,"None"))</f>
        <v>None</v>
      </c>
      <c r="AH16" s="30">
        <f t="shared" si="4"/>
        <v>0</v>
      </c>
      <c r="AI16" s="124" t="b">
        <f t="shared" si="5"/>
        <v>0</v>
      </c>
      <c r="AJ16" s="124" t="b">
        <f t="shared" si="6"/>
        <v>1</v>
      </c>
      <c r="AL16" s="124">
        <v>7</v>
      </c>
      <c r="AN16" s="124" t="str">
        <f t="array" ref="AN16">IFERROR(INDEX($AL$10:$AL$258, MATCH(0, IF(TRUE=$AI$10:$AI$258, COUNTIF($AN$9:$AN15, $AL$10:$AL$258), ""), 0)),"")</f>
        <v/>
      </c>
      <c r="AO16" s="124">
        <f t="array" ref="AO16">IFERROR(INDEX($AL$10:$AL$258, MATCH(0, IF(TRUE=$AJ$10:$AJ$258, COUNTIF($AO$9:$AO15, $AL$10:$AL$258), ""), 0)),"")</f>
        <v>9</v>
      </c>
      <c r="AQ16" s="30" t="str">
        <f>IFERROR(INDEX('G-7 WaterC'' Data'!$AZ$3:$AZ$7,MATCH(D16,'G-7 WaterC'' Data'!$AY$3:$AY$7,0)),"")</f>
        <v>Rivercond1</v>
      </c>
      <c r="AR16" s="30" t="str">
        <f>IFERROR(INDEX('G-7 WaterC'' Data'!AZ16:AZ20,MATCH(D16,'G-7 WaterC'' Data'!$AY$10:$AY$14,0)),"")</f>
        <v/>
      </c>
    </row>
    <row r="17" spans="3:44" ht="28.5" x14ac:dyDescent="0.2">
      <c r="C17" s="110">
        <v>8</v>
      </c>
      <c r="D17" s="337" t="s">
        <v>198</v>
      </c>
      <c r="E17" s="139">
        <v>0.47874136866402711</v>
      </c>
      <c r="F17" s="362" t="str">
        <f>IF(D17="","",VLOOKUP(D17,'G-7 WaterC'' Data'!$B$2:$G$8,2,FALSE))</f>
        <v>Medium</v>
      </c>
      <c r="G17" s="363">
        <f>IFERROR(VLOOKUP(F17,'G-7 WaterC'' Data'!$C$4:$D$8,2,FALSE),"")</f>
        <v>4</v>
      </c>
      <c r="H17" s="114" t="s">
        <v>329</v>
      </c>
      <c r="I17" s="363">
        <f>IFERROR(INDEX('G-7 WaterC'' Data'!$H$4:$L$8,MATCH(D17,'G-7 WaterC'' Data'!$B$4:$B$8,0),MATCH(H17,'G-7 WaterC'' Data'!$H$3:$L$3,0)),"")</f>
        <v>1</v>
      </c>
      <c r="J17" s="320" t="s">
        <v>1037</v>
      </c>
      <c r="K17" s="398" t="str">
        <f>IF(J17="","",IF(VLOOKUP(J17,'G-7 WaterC'' Data'!$AK$4:$AM$6,2,FALSE)=0,"Spatial Data Missing ⚠",VLOOKUP(J17,'G-7 WaterC'' Data'!$AK$4:$AM$6,2,FALSE)))</f>
        <v>Low Strategic Significance</v>
      </c>
      <c r="L17" s="368">
        <f>IF(J17="","",IF(VLOOKUP(J17,'G-7 WaterC'' Data'!$AK$4:$AM$9,3,FALSE)=0,"Spatial Data Missing ⚠",VLOOKUP(J17,'G-7 WaterC'' Data'!$AK$4:$AM$6,3,FALSE)))</f>
        <v>1</v>
      </c>
      <c r="M17" s="54" t="s">
        <v>1126</v>
      </c>
      <c r="N17" s="363">
        <f>IF(M17="","",IF(VLOOKUP(M17,'G-7 WaterC'' Data'!$AA$4:$AB$7,2,FALSE)=0,"Spatial Data Missing ⚠",VLOOKUP(M17,'G-7 WaterC'' Data'!$AA$4:$AB$7,2,FALSE)))</f>
        <v>1</v>
      </c>
      <c r="O17" s="60" t="s">
        <v>1127</v>
      </c>
      <c r="P17" s="363">
        <f>IF(O17="","",IF(VLOOKUP(O17,'G-7 WaterC'' Data'!$AD$4:$AE$14,2,FALSE)=0,"Spatial Data Missing ⚠",VLOOKUP(O17,'G-7 WaterC'' Data'!$AD$4:$AE$14,2,FALSE)))</f>
        <v>0.75</v>
      </c>
      <c r="Q17" s="369" t="str">
        <f>IF(D17="","",VLOOKUP(D17,'G-7 WaterC'' Data'!$B$2:$G$8,6,FALSE))</f>
        <v>Same habitat required =</v>
      </c>
      <c r="R17" s="376">
        <f>IFERROR(IF(D17="","",IF(AND(Q17='G-1 All Habitats'!$X$3,U17&gt;0),V17+W17,IF(AND(Q17='G-1 All Habitats'!$X$3,T17&gt;0),V17+W17,IF(AND(Q17='G-1 All Habitats'!$X$3,AD17&gt;0),"Any Loss Unacceptable ⚠",IF(AND(Q17='G-1 All Habitats'!$X$3,AE17&gt;0),"Any Loss Unacceptable ⚠", E17*G17*I17*L17*N17*P17 ))))),"Check Data ▲")</f>
        <v>1.4362241059920813</v>
      </c>
      <c r="S17" s="32"/>
      <c r="T17" s="114">
        <v>0.47874136866402711</v>
      </c>
      <c r="U17" s="125">
        <v>0</v>
      </c>
      <c r="V17" s="374">
        <f t="shared" si="0"/>
        <v>1.4362241059920813</v>
      </c>
      <c r="W17" s="374">
        <f t="shared" si="1"/>
        <v>0</v>
      </c>
      <c r="X17" s="374">
        <f t="shared" si="2"/>
        <v>0</v>
      </c>
      <c r="Y17" s="670">
        <f t="shared" si="3"/>
        <v>0</v>
      </c>
      <c r="Z17" s="706"/>
      <c r="AA17" s="704"/>
      <c r="AB17" s="120"/>
      <c r="AC17" s="120" t="s">
        <v>2009</v>
      </c>
      <c r="AD17" s="57" t="str">
        <f>IF(Q17="","",IF(Q17='G-1 All Habitats'!$X$3,E17-T17-U17,"None"))</f>
        <v>None</v>
      </c>
      <c r="AE17" s="58" t="str">
        <f>IF(Q17="","", IF(Q17='G-1 All Habitats'!$X$3, AD17*G17*I17*L17*N17*P17,"None"))</f>
        <v>None</v>
      </c>
      <c r="AH17" s="30">
        <f t="shared" si="4"/>
        <v>0</v>
      </c>
      <c r="AI17" s="124" t="b">
        <f t="shared" si="5"/>
        <v>1</v>
      </c>
      <c r="AJ17" s="124" t="b">
        <f t="shared" si="6"/>
        <v>0</v>
      </c>
      <c r="AL17" s="124">
        <v>8</v>
      </c>
      <c r="AN17" s="124" t="str">
        <f t="array" ref="AN17">IFERROR(INDEX($AL$10:$AL$258, MATCH(0, IF(TRUE=$AI$10:$AI$258, COUNTIF($AN$9:$AN16, $AL$10:$AL$258), ""), 0)),"")</f>
        <v/>
      </c>
      <c r="AO17" s="124">
        <f t="array" ref="AO17">IFERROR(INDEX($AL$10:$AL$258, MATCH(0, IF(TRUE=$AJ$10:$AJ$258, COUNTIF($AO$9:$AO16, $AL$10:$AL$258), ""), 0)),"")</f>
        <v>10</v>
      </c>
      <c r="AQ17" s="30" t="str">
        <f>IFERROR(INDEX('G-7 WaterC'' Data'!$AZ$3:$AZ$7,MATCH(D17,'G-7 WaterC'' Data'!$AY$3:$AY$7,0)),"")</f>
        <v>Rivercond1</v>
      </c>
      <c r="AR17" s="30" t="str">
        <f>IFERROR(INDEX('G-7 WaterC'' Data'!AZ17:AZ21,MATCH(D17,'G-7 WaterC'' Data'!$AY$10:$AY$14,0)),"")</f>
        <v/>
      </c>
    </row>
    <row r="18" spans="3:44" ht="28.5" x14ac:dyDescent="0.2">
      <c r="C18" s="110">
        <v>9</v>
      </c>
      <c r="D18" s="337" t="s">
        <v>198</v>
      </c>
      <c r="E18" s="139">
        <v>0.21083646108220108</v>
      </c>
      <c r="F18" s="362" t="str">
        <f>IF(D18="","",VLOOKUP(D18,'G-7 WaterC'' Data'!$B$2:$G$8,2,FALSE))</f>
        <v>Medium</v>
      </c>
      <c r="G18" s="363">
        <f>IFERROR(VLOOKUP(F18,'G-7 WaterC'' Data'!$C$4:$D$8,2,FALSE),"")</f>
        <v>4</v>
      </c>
      <c r="H18" s="114" t="s">
        <v>329</v>
      </c>
      <c r="I18" s="363">
        <f>IFERROR(INDEX('G-7 WaterC'' Data'!$H$4:$L$8,MATCH(D18,'G-7 WaterC'' Data'!$B$4:$B$8,0),MATCH(H18,'G-7 WaterC'' Data'!$H$3:$L$3,0)),"")</f>
        <v>1</v>
      </c>
      <c r="J18" s="320" t="s">
        <v>1037</v>
      </c>
      <c r="K18" s="398" t="str">
        <f>IF(J18="","",IF(VLOOKUP(J18,'G-7 WaterC'' Data'!$AK$4:$AM$6,2,FALSE)=0,"Spatial Data Missing ⚠",VLOOKUP(J18,'G-7 WaterC'' Data'!$AK$4:$AM$6,2,FALSE)))</f>
        <v>Low Strategic Significance</v>
      </c>
      <c r="L18" s="368">
        <f>IF(J18="","",IF(VLOOKUP(J18,'G-7 WaterC'' Data'!$AK$4:$AM$9,3,FALSE)=0,"Spatial Data Missing ⚠",VLOOKUP(J18,'G-7 WaterC'' Data'!$AK$4:$AM$6,3,FALSE)))</f>
        <v>1</v>
      </c>
      <c r="M18" s="54" t="s">
        <v>1126</v>
      </c>
      <c r="N18" s="363">
        <f>IF(M18="","",IF(VLOOKUP(M18,'G-7 WaterC'' Data'!$AA$4:$AB$7,2,FALSE)=0,"Spatial Data Missing ⚠",VLOOKUP(M18,'G-7 WaterC'' Data'!$AA$4:$AB$7,2,FALSE)))</f>
        <v>1</v>
      </c>
      <c r="O18" s="60" t="s">
        <v>1127</v>
      </c>
      <c r="P18" s="363">
        <f>IF(O18="","",IF(VLOOKUP(O18,'G-7 WaterC'' Data'!$AD$4:$AE$14,2,FALSE)=0,"Spatial Data Missing ⚠",VLOOKUP(O18,'G-7 WaterC'' Data'!$AD$4:$AE$14,2,FALSE)))</f>
        <v>0.75</v>
      </c>
      <c r="Q18" s="369" t="str">
        <f>IF(D18="","",VLOOKUP(D18,'G-7 WaterC'' Data'!$B$2:$G$8,6,FALSE))</f>
        <v>Same habitat required =</v>
      </c>
      <c r="R18" s="376">
        <f>IFERROR(IF(D18="","",IF(AND(Q18='G-1 All Habitats'!$X$3,U18&gt;0),V18+W18,IF(AND(Q18='G-1 All Habitats'!$X$3,T18&gt;0),V18+W18,IF(AND(Q18='G-1 All Habitats'!$X$3,AD18&gt;0),"Any Loss Unacceptable ⚠",IF(AND(Q18='G-1 All Habitats'!$X$3,AE18&gt;0),"Any Loss Unacceptable ⚠", E18*G18*I18*L18*N18*P18 ))))),"Check Data ▲")</f>
        <v>0.63250938324660322</v>
      </c>
      <c r="S18" s="32"/>
      <c r="T18" s="114">
        <v>0</v>
      </c>
      <c r="U18" s="125">
        <v>0.21083646108220108</v>
      </c>
      <c r="V18" s="374">
        <f t="shared" si="0"/>
        <v>0</v>
      </c>
      <c r="W18" s="374">
        <f t="shared" si="1"/>
        <v>0.63250938324660322</v>
      </c>
      <c r="X18" s="374">
        <f t="shared" si="2"/>
        <v>0</v>
      </c>
      <c r="Y18" s="670">
        <f t="shared" si="3"/>
        <v>0</v>
      </c>
      <c r="Z18" s="706"/>
      <c r="AA18" s="704"/>
      <c r="AB18" s="120"/>
      <c r="AC18" s="120" t="s">
        <v>2010</v>
      </c>
      <c r="AD18" s="57" t="str">
        <f>IF(Q18="","",IF(Q18='G-1 All Habitats'!$X$3,E18-T18-U18,"None"))</f>
        <v>None</v>
      </c>
      <c r="AE18" s="58" t="str">
        <f>IF(Q18="","", IF(Q18='G-1 All Habitats'!$X$3, AD18*G18*I18*L18*N18*P18,"None"))</f>
        <v>None</v>
      </c>
      <c r="AH18" s="30">
        <f t="shared" si="4"/>
        <v>0</v>
      </c>
      <c r="AI18" s="124" t="b">
        <f t="shared" si="5"/>
        <v>0</v>
      </c>
      <c r="AJ18" s="124" t="b">
        <f t="shared" si="6"/>
        <v>1</v>
      </c>
      <c r="AL18" s="124">
        <v>9</v>
      </c>
      <c r="AN18" s="124" t="str">
        <f t="array" ref="AN18">IFERROR(INDEX($AL$10:$AL$258, MATCH(0, IF(TRUE=$AI$10:$AI$258, COUNTIF($AN$9:$AN17, $AL$10:$AL$258), ""), 0)),"")</f>
        <v/>
      </c>
      <c r="AO18" s="124">
        <f t="array" ref="AO18">IFERROR(INDEX($AL$10:$AL$258, MATCH(0, IF(TRUE=$AJ$10:$AJ$258, COUNTIF($AO$9:$AO17, $AL$10:$AL$258), ""), 0)),"")</f>
        <v>11</v>
      </c>
      <c r="AQ18" s="30" t="str">
        <f>IFERROR(INDEX('G-7 WaterC'' Data'!$AZ$3:$AZ$7,MATCH(D18,'G-7 WaterC'' Data'!$AY$3:$AY$7,0)),"")</f>
        <v>Rivercond1</v>
      </c>
      <c r="AR18" s="30" t="str">
        <f>IFERROR(INDEX('G-7 WaterC'' Data'!AZ18:AZ22,MATCH(D18,'G-7 WaterC'' Data'!$AY$10:$AY$14,0)),"")</f>
        <v/>
      </c>
    </row>
    <row r="19" spans="3:44" ht="28.5" x14ac:dyDescent="0.2">
      <c r="C19" s="110">
        <v>10</v>
      </c>
      <c r="D19" s="337" t="s">
        <v>198</v>
      </c>
      <c r="E19" s="139">
        <v>0.15290646257089816</v>
      </c>
      <c r="F19" s="362" t="str">
        <f>IF(D19="","",VLOOKUP(D19,'G-7 WaterC'' Data'!$B$2:$G$8,2,FALSE))</f>
        <v>Medium</v>
      </c>
      <c r="G19" s="363">
        <f>IFERROR(VLOOKUP(F19,'G-7 WaterC'' Data'!$C$4:$D$8,2,FALSE),"")</f>
        <v>4</v>
      </c>
      <c r="H19" s="114" t="s">
        <v>329</v>
      </c>
      <c r="I19" s="363">
        <f>IFERROR(INDEX('G-7 WaterC'' Data'!$H$4:$L$8,MATCH(D19,'G-7 WaterC'' Data'!$B$4:$B$8,0),MATCH(H19,'G-7 WaterC'' Data'!$H$3:$L$3,0)),"")</f>
        <v>1</v>
      </c>
      <c r="J19" s="320" t="s">
        <v>1037</v>
      </c>
      <c r="K19" s="398" t="str">
        <f>IF(J19="","",IF(VLOOKUP(J19,'G-7 WaterC'' Data'!$AK$4:$AM$6,2,FALSE)=0,"Spatial Data Missing ⚠",VLOOKUP(J19,'G-7 WaterC'' Data'!$AK$4:$AM$6,2,FALSE)))</f>
        <v>Low Strategic Significance</v>
      </c>
      <c r="L19" s="368">
        <f>IF(J19="","",IF(VLOOKUP(J19,'G-7 WaterC'' Data'!$AK$4:$AM$9,3,FALSE)=0,"Spatial Data Missing ⚠",VLOOKUP(J19,'G-7 WaterC'' Data'!$AK$4:$AM$6,3,FALSE)))</f>
        <v>1</v>
      </c>
      <c r="M19" s="54" t="s">
        <v>1126</v>
      </c>
      <c r="N19" s="363">
        <f>IF(M19="","",IF(VLOOKUP(M19,'G-7 WaterC'' Data'!$AA$4:$AB$7,2,FALSE)=0,"Spatial Data Missing ⚠",VLOOKUP(M19,'G-7 WaterC'' Data'!$AA$4:$AB$7,2,FALSE)))</f>
        <v>1</v>
      </c>
      <c r="O19" s="60" t="s">
        <v>1127</v>
      </c>
      <c r="P19" s="363">
        <f>IF(O19="","",IF(VLOOKUP(O19,'G-7 WaterC'' Data'!$AD$4:$AE$14,2,FALSE)=0,"Spatial Data Missing ⚠",VLOOKUP(O19,'G-7 WaterC'' Data'!$AD$4:$AE$14,2,FALSE)))</f>
        <v>0.75</v>
      </c>
      <c r="Q19" s="369" t="str">
        <f>IF(D19="","",VLOOKUP(D19,'G-7 WaterC'' Data'!$B$2:$G$8,6,FALSE))</f>
        <v>Same habitat required =</v>
      </c>
      <c r="R19" s="376">
        <f>IFERROR(IF(D19="","",IF(AND(Q19='G-1 All Habitats'!$X$3,U19&gt;0),V19+W19,IF(AND(Q19='G-1 All Habitats'!$X$3,T19&gt;0),V19+W19,IF(AND(Q19='G-1 All Habitats'!$X$3,AD19&gt;0),"Any Loss Unacceptable ⚠",IF(AND(Q19='G-1 All Habitats'!$X$3,AE19&gt;0),"Any Loss Unacceptable ⚠", E19*G19*I19*L19*N19*P19 ))))),"Check Data ▲")</f>
        <v>0.45871938771269449</v>
      </c>
      <c r="S19" s="32"/>
      <c r="T19" s="114">
        <v>0</v>
      </c>
      <c r="U19" s="125">
        <v>0.15290646257089816</v>
      </c>
      <c r="V19" s="374">
        <f t="shared" si="0"/>
        <v>0</v>
      </c>
      <c r="W19" s="374">
        <f t="shared" si="1"/>
        <v>0.45871938771269449</v>
      </c>
      <c r="X19" s="374">
        <f t="shared" si="2"/>
        <v>0</v>
      </c>
      <c r="Y19" s="670">
        <f t="shared" si="3"/>
        <v>0</v>
      </c>
      <c r="Z19" s="706"/>
      <c r="AA19" s="704"/>
      <c r="AB19" s="120"/>
      <c r="AC19" s="120" t="s">
        <v>2011</v>
      </c>
      <c r="AD19" s="57" t="str">
        <f>IF(Q19="","",IF(Q19='G-1 All Habitats'!$X$3,E19-T19-U19,"None"))</f>
        <v>None</v>
      </c>
      <c r="AE19" s="58" t="str">
        <f>IF(Q19="","", IF(Q19='G-1 All Habitats'!$X$3, AD19*G19*I19*L19*N19*P19,"None"))</f>
        <v>None</v>
      </c>
      <c r="AH19" s="30">
        <f t="shared" si="4"/>
        <v>0</v>
      </c>
      <c r="AI19" s="124" t="b">
        <f t="shared" si="5"/>
        <v>0</v>
      </c>
      <c r="AJ19" s="124" t="b">
        <f t="shared" si="6"/>
        <v>1</v>
      </c>
      <c r="AL19" s="124">
        <v>10</v>
      </c>
      <c r="AN19" s="124" t="str">
        <f t="array" ref="AN19">IFERROR(INDEX($AL$10:$AL$258, MATCH(0, IF(TRUE=$AI$10:$AI$258, COUNTIF($AN$9:$AN18, $AL$10:$AL$258), ""), 0)),"")</f>
        <v/>
      </c>
      <c r="AO19" s="124">
        <f t="array" ref="AO19">IFERROR(INDEX($AL$10:$AL$258, MATCH(0, IF(TRUE=$AJ$10:$AJ$258, COUNTIF($AO$9:$AO18, $AL$10:$AL$258), ""), 0)),"")</f>
        <v>12</v>
      </c>
      <c r="AQ19" s="30" t="str">
        <f>IFERROR(INDEX('G-7 WaterC'' Data'!$AZ$3:$AZ$7,MATCH(D19,'G-7 WaterC'' Data'!$AY$3:$AY$7,0)),"")</f>
        <v>Rivercond1</v>
      </c>
      <c r="AR19" s="30" t="str">
        <f>IFERROR(INDEX('G-7 WaterC'' Data'!AZ19:AZ23,MATCH(D19,'G-7 WaterC'' Data'!$AY$10:$AY$14,0)),"")</f>
        <v/>
      </c>
    </row>
    <row r="20" spans="3:44" ht="28.5" x14ac:dyDescent="0.2">
      <c r="C20" s="110">
        <v>11</v>
      </c>
      <c r="D20" s="337" t="s">
        <v>198</v>
      </c>
      <c r="E20" s="139">
        <v>0.65667434274674819</v>
      </c>
      <c r="F20" s="362" t="str">
        <f>IF(D20="","",VLOOKUP(D20,'G-7 WaterC'' Data'!$B$2:$G$8,2,FALSE))</f>
        <v>Medium</v>
      </c>
      <c r="G20" s="363">
        <f>IFERROR(VLOOKUP(F20,'G-7 WaterC'' Data'!$C$4:$D$8,2,FALSE),"")</f>
        <v>4</v>
      </c>
      <c r="H20" s="114" t="s">
        <v>329</v>
      </c>
      <c r="I20" s="363">
        <f>IFERROR(INDEX('G-7 WaterC'' Data'!$H$4:$L$8,MATCH(D20,'G-7 WaterC'' Data'!$B$4:$B$8,0),MATCH(H20,'G-7 WaterC'' Data'!$H$3:$L$3,0)),"")</f>
        <v>1</v>
      </c>
      <c r="J20" s="320" t="s">
        <v>1037</v>
      </c>
      <c r="K20" s="398" t="str">
        <f>IF(J20="","",IF(VLOOKUP(J20,'G-7 WaterC'' Data'!$AK$4:$AM$6,2,FALSE)=0,"Spatial Data Missing ⚠",VLOOKUP(J20,'G-7 WaterC'' Data'!$AK$4:$AM$6,2,FALSE)))</f>
        <v>Low Strategic Significance</v>
      </c>
      <c r="L20" s="368">
        <f>IF(J20="","",IF(VLOOKUP(J20,'G-7 WaterC'' Data'!$AK$4:$AM$9,3,FALSE)=0,"Spatial Data Missing ⚠",VLOOKUP(J20,'G-7 WaterC'' Data'!$AK$4:$AM$6,3,FALSE)))</f>
        <v>1</v>
      </c>
      <c r="M20" s="54" t="s">
        <v>1126</v>
      </c>
      <c r="N20" s="363">
        <f>IF(M20="","",IF(VLOOKUP(M20,'G-7 WaterC'' Data'!$AA$4:$AB$7,2,FALSE)=0,"Spatial Data Missing ⚠",VLOOKUP(M20,'G-7 WaterC'' Data'!$AA$4:$AB$7,2,FALSE)))</f>
        <v>1</v>
      </c>
      <c r="O20" s="60" t="s">
        <v>1127</v>
      </c>
      <c r="P20" s="363">
        <f>IF(O20="","",IF(VLOOKUP(O20,'G-7 WaterC'' Data'!$AD$4:$AE$14,2,FALSE)=0,"Spatial Data Missing ⚠",VLOOKUP(O20,'G-7 WaterC'' Data'!$AD$4:$AE$14,2,FALSE)))</f>
        <v>0.75</v>
      </c>
      <c r="Q20" s="369" t="str">
        <f>IF(D20="","",VLOOKUP(D20,'G-7 WaterC'' Data'!$B$2:$G$8,6,FALSE))</f>
        <v>Same habitat required =</v>
      </c>
      <c r="R20" s="376">
        <f>IFERROR(IF(D20="","",IF(AND(Q20='G-1 All Habitats'!$X$3,U20&gt;0),V20+W20,IF(AND(Q20='G-1 All Habitats'!$X$3,T20&gt;0),V20+W20,IF(AND(Q20='G-1 All Habitats'!$X$3,AD20&gt;0),"Any Loss Unacceptable ⚠",IF(AND(Q20='G-1 All Habitats'!$X$3,AE20&gt;0),"Any Loss Unacceptable ⚠", E20*G20*I20*L20*N20*P20 ))))),"Check Data ▲")</f>
        <v>1.9700230282402447</v>
      </c>
      <c r="S20" s="32"/>
      <c r="T20" s="114">
        <v>0</v>
      </c>
      <c r="U20" s="125">
        <v>0.65667434274674819</v>
      </c>
      <c r="V20" s="374">
        <f t="shared" si="0"/>
        <v>0</v>
      </c>
      <c r="W20" s="374">
        <f t="shared" si="1"/>
        <v>1.9700230282402447</v>
      </c>
      <c r="X20" s="374">
        <f t="shared" si="2"/>
        <v>0</v>
      </c>
      <c r="Y20" s="670">
        <f t="shared" si="3"/>
        <v>0</v>
      </c>
      <c r="Z20" s="706"/>
      <c r="AA20" s="704"/>
      <c r="AB20" s="120"/>
      <c r="AC20" s="120" t="s">
        <v>2012</v>
      </c>
      <c r="AD20" s="57" t="str">
        <f>IF(Q20="","",IF(Q20='G-1 All Habitats'!$X$3,E20-T20-U20,"None"))</f>
        <v>None</v>
      </c>
      <c r="AE20" s="58" t="str">
        <f>IF(Q20="","", IF(Q20='G-1 All Habitats'!$X$3, AD20*G20*I20*L20*N20*P20,"None"))</f>
        <v>None</v>
      </c>
      <c r="AH20" s="30">
        <f t="shared" si="4"/>
        <v>0</v>
      </c>
      <c r="AI20" s="124" t="b">
        <f t="shared" si="5"/>
        <v>0</v>
      </c>
      <c r="AJ20" s="124" t="b">
        <f t="shared" si="6"/>
        <v>1</v>
      </c>
      <c r="AL20" s="124">
        <v>11</v>
      </c>
      <c r="AN20" s="124" t="str">
        <f t="array" ref="AN20">IFERROR(INDEX($AL$10:$AL$258, MATCH(0, IF(TRUE=$AI$10:$AI$258, COUNTIF($AN$9:$AN19, $AL$10:$AL$258), ""), 0)),"")</f>
        <v/>
      </c>
      <c r="AO20" s="124">
        <f t="array" ref="AO20">IFERROR(INDEX($AL$10:$AL$258, MATCH(0, IF(TRUE=$AJ$10:$AJ$258, COUNTIF($AO$9:$AO19, $AL$10:$AL$258), ""), 0)),"")</f>
        <v>13</v>
      </c>
      <c r="AQ20" s="30" t="str">
        <f>IFERROR(INDEX('G-7 WaterC'' Data'!$AZ$3:$AZ$7,MATCH(D20,'G-7 WaterC'' Data'!$AY$3:$AY$7,0)),"")</f>
        <v>Rivercond1</v>
      </c>
      <c r="AR20" s="30" t="str">
        <f>IFERROR(INDEX('G-7 WaterC'' Data'!AZ20:AZ24,MATCH(D20,'G-7 WaterC'' Data'!$AY$10:$AY$14,0)),"")</f>
        <v/>
      </c>
    </row>
    <row r="21" spans="3:44" ht="28.5" x14ac:dyDescent="0.2">
      <c r="C21" s="110">
        <v>12</v>
      </c>
      <c r="D21" s="337" t="s">
        <v>198</v>
      </c>
      <c r="E21" s="139">
        <v>0.84359155871641101</v>
      </c>
      <c r="F21" s="362" t="str">
        <f>IF(D21="","",VLOOKUP(D21,'G-7 WaterC'' Data'!$B$2:$G$8,2,FALSE))</f>
        <v>Medium</v>
      </c>
      <c r="G21" s="363">
        <f>IFERROR(VLOOKUP(F21,'G-7 WaterC'' Data'!$C$4:$D$8,2,FALSE),"")</f>
        <v>4</v>
      </c>
      <c r="H21" s="114" t="s">
        <v>329</v>
      </c>
      <c r="I21" s="363">
        <f>IFERROR(INDEX('G-7 WaterC'' Data'!$H$4:$L$8,MATCH(D21,'G-7 WaterC'' Data'!$B$4:$B$8,0),MATCH(H21,'G-7 WaterC'' Data'!$H$3:$L$3,0)),"")</f>
        <v>1</v>
      </c>
      <c r="J21" s="320" t="s">
        <v>1037</v>
      </c>
      <c r="K21" s="398" t="str">
        <f>IF(J21="","",IF(VLOOKUP(J21,'G-7 WaterC'' Data'!$AK$4:$AM$6,2,FALSE)=0,"Spatial Data Missing ⚠",VLOOKUP(J21,'G-7 WaterC'' Data'!$AK$4:$AM$6,2,FALSE)))</f>
        <v>Low Strategic Significance</v>
      </c>
      <c r="L21" s="368">
        <f>IF(J21="","",IF(VLOOKUP(J21,'G-7 WaterC'' Data'!$AK$4:$AM$9,3,FALSE)=0,"Spatial Data Missing ⚠",VLOOKUP(J21,'G-7 WaterC'' Data'!$AK$4:$AM$6,3,FALSE)))</f>
        <v>1</v>
      </c>
      <c r="M21" s="54" t="s">
        <v>1126</v>
      </c>
      <c r="N21" s="363">
        <f>IF(M21="","",IF(VLOOKUP(M21,'G-7 WaterC'' Data'!$AA$4:$AB$7,2,FALSE)=0,"Spatial Data Missing ⚠",VLOOKUP(M21,'G-7 WaterC'' Data'!$AA$4:$AB$7,2,FALSE)))</f>
        <v>1</v>
      </c>
      <c r="O21" s="60" t="s">
        <v>1127</v>
      </c>
      <c r="P21" s="363">
        <f>IF(O21="","",IF(VLOOKUP(O21,'G-7 WaterC'' Data'!$AD$4:$AE$14,2,FALSE)=0,"Spatial Data Missing ⚠",VLOOKUP(O21,'G-7 WaterC'' Data'!$AD$4:$AE$14,2,FALSE)))</f>
        <v>0.75</v>
      </c>
      <c r="Q21" s="369" t="str">
        <f>IF(D21="","",VLOOKUP(D21,'G-7 WaterC'' Data'!$B$2:$G$8,6,FALSE))</f>
        <v>Same habitat required =</v>
      </c>
      <c r="R21" s="376">
        <f>IFERROR(IF(D21="","",IF(AND(Q21='G-1 All Habitats'!$X$3,U21&gt;0),V21+W21,IF(AND(Q21='G-1 All Habitats'!$X$3,T21&gt;0),V21+W21,IF(AND(Q21='G-1 All Habitats'!$X$3,AD21&gt;0),"Any Loss Unacceptable ⚠",IF(AND(Q21='G-1 All Habitats'!$X$3,AE21&gt;0),"Any Loss Unacceptable ⚠", E21*G21*I21*L21*N21*P21 ))))),"Check Data ▲")</f>
        <v>2.5307746761492331</v>
      </c>
      <c r="S21" s="32"/>
      <c r="T21" s="114">
        <v>0</v>
      </c>
      <c r="U21" s="125">
        <v>0.84359155871641101</v>
      </c>
      <c r="V21" s="374">
        <f t="shared" si="0"/>
        <v>0</v>
      </c>
      <c r="W21" s="374">
        <f t="shared" si="1"/>
        <v>2.5307746761492331</v>
      </c>
      <c r="X21" s="374">
        <f t="shared" si="2"/>
        <v>0</v>
      </c>
      <c r="Y21" s="670">
        <f t="shared" si="3"/>
        <v>0</v>
      </c>
      <c r="Z21" s="706"/>
      <c r="AA21" s="704"/>
      <c r="AB21" s="120"/>
      <c r="AC21" s="120" t="s">
        <v>2013</v>
      </c>
      <c r="AD21" s="57" t="str">
        <f>IF(Q21="","",IF(Q21='G-1 All Habitats'!$X$3,E21-T21-U21,"None"))</f>
        <v>None</v>
      </c>
      <c r="AE21" s="58" t="str">
        <f>IF(Q21="","", IF(Q21='G-1 All Habitats'!$X$3, AD21*G21*I21*L21*N21*P21,"None"))</f>
        <v>None</v>
      </c>
      <c r="AH21" s="30">
        <f t="shared" si="4"/>
        <v>0</v>
      </c>
      <c r="AI21" s="124" t="b">
        <f t="shared" si="5"/>
        <v>0</v>
      </c>
      <c r="AJ21" s="124" t="b">
        <f t="shared" si="6"/>
        <v>1</v>
      </c>
      <c r="AL21" s="124">
        <v>12</v>
      </c>
      <c r="AN21" s="124" t="str">
        <f t="array" ref="AN21">IFERROR(INDEX($AL$10:$AL$258, MATCH(0, IF(TRUE=$AI$10:$AI$258, COUNTIF($AN$9:$AN20, $AL$10:$AL$258), ""), 0)),"")</f>
        <v/>
      </c>
      <c r="AO21" s="124">
        <f t="array" ref="AO21">IFERROR(INDEX($AL$10:$AL$258, MATCH(0, IF(TRUE=$AJ$10:$AJ$258, COUNTIF($AO$9:$AO20, $AL$10:$AL$258), ""), 0)),"")</f>
        <v>14</v>
      </c>
      <c r="AQ21" s="30" t="str">
        <f>IFERROR(INDEX('G-7 WaterC'' Data'!$AZ$3:$AZ$7,MATCH(D21,'G-7 WaterC'' Data'!$AY$3:$AY$7,0)),"")</f>
        <v>Rivercond1</v>
      </c>
      <c r="AR21" s="30" t="str">
        <f>IFERROR(INDEX('G-7 WaterC'' Data'!AZ21:AZ25,MATCH(D21,'G-7 WaterC'' Data'!$AY$10:$AY$14,0)),"")</f>
        <v/>
      </c>
    </row>
    <row r="22" spans="3:44" ht="28.5" x14ac:dyDescent="0.2">
      <c r="C22" s="110">
        <v>13</v>
      </c>
      <c r="D22" s="337" t="s">
        <v>198</v>
      </c>
      <c r="E22" s="139">
        <v>0.2954756237785624</v>
      </c>
      <c r="F22" s="362" t="str">
        <f>IF(D22="","",VLOOKUP(D22,'G-7 WaterC'' Data'!$B$2:$G$8,2,FALSE))</f>
        <v>Medium</v>
      </c>
      <c r="G22" s="363">
        <f>IFERROR(VLOOKUP(F22,'G-7 WaterC'' Data'!$C$4:$D$8,2,FALSE),"")</f>
        <v>4</v>
      </c>
      <c r="H22" s="114" t="s">
        <v>329</v>
      </c>
      <c r="I22" s="363">
        <f>IFERROR(INDEX('G-7 WaterC'' Data'!$H$4:$L$8,MATCH(D22,'G-7 WaterC'' Data'!$B$4:$B$8,0),MATCH(H22,'G-7 WaterC'' Data'!$H$3:$L$3,0)),"")</f>
        <v>1</v>
      </c>
      <c r="J22" s="320" t="s">
        <v>1029</v>
      </c>
      <c r="K22" s="398" t="str">
        <f>IF(J22="","",IF(VLOOKUP(J22,'G-7 WaterC'' Data'!$AK$4:$AM$6,2,FALSE)=0,"Spatial Data Missing ⚠",VLOOKUP(J22,'G-7 WaterC'' Data'!$AK$4:$AM$6,2,FALSE)))</f>
        <v xml:space="preserve">High strategic significance </v>
      </c>
      <c r="L22" s="368">
        <f>IF(J22="","",IF(VLOOKUP(J22,'G-7 WaterC'' Data'!$AK$4:$AM$9,3,FALSE)=0,"Spatial Data Missing ⚠",VLOOKUP(J22,'G-7 WaterC'' Data'!$AK$4:$AM$6,3,FALSE)))</f>
        <v>1.1499999999999999</v>
      </c>
      <c r="M22" s="54" t="s">
        <v>1126</v>
      </c>
      <c r="N22" s="363">
        <f>IF(M22="","",IF(VLOOKUP(M22,'G-7 WaterC'' Data'!$AA$4:$AB$7,2,FALSE)=0,"Spatial Data Missing ⚠",VLOOKUP(M22,'G-7 WaterC'' Data'!$AA$4:$AB$7,2,FALSE)))</f>
        <v>1</v>
      </c>
      <c r="O22" s="60" t="s">
        <v>1127</v>
      </c>
      <c r="P22" s="363">
        <f>IF(O22="","",IF(VLOOKUP(O22,'G-7 WaterC'' Data'!$AD$4:$AE$14,2,FALSE)=0,"Spatial Data Missing ⚠",VLOOKUP(O22,'G-7 WaterC'' Data'!$AD$4:$AE$14,2,FALSE)))</f>
        <v>0.75</v>
      </c>
      <c r="Q22" s="369" t="str">
        <f>IF(D22="","",VLOOKUP(D22,'G-7 WaterC'' Data'!$B$2:$G$8,6,FALSE))</f>
        <v>Same habitat required =</v>
      </c>
      <c r="R22" s="376">
        <f>IFERROR(IF(D22="","",IF(AND(Q22='G-1 All Habitats'!$X$3,U22&gt;0),V22+W22,IF(AND(Q22='G-1 All Habitats'!$X$3,T22&gt;0),V22+W22,IF(AND(Q22='G-1 All Habitats'!$X$3,AD22&gt;0),"Any Loss Unacceptable ⚠",IF(AND(Q22='G-1 All Habitats'!$X$3,AE22&gt;0),"Any Loss Unacceptable ⚠", E22*G22*I22*L22*N22*P22 ))))),"Check Data ▲")</f>
        <v>1.0193909020360403</v>
      </c>
      <c r="S22" s="32"/>
      <c r="T22" s="114">
        <v>0</v>
      </c>
      <c r="U22" s="125">
        <v>0.2954756237785624</v>
      </c>
      <c r="V22" s="374">
        <f t="shared" si="0"/>
        <v>0</v>
      </c>
      <c r="W22" s="374">
        <f t="shared" si="1"/>
        <v>1.0193909020360403</v>
      </c>
      <c r="X22" s="374">
        <f t="shared" si="2"/>
        <v>0</v>
      </c>
      <c r="Y22" s="670">
        <f t="shared" si="3"/>
        <v>0</v>
      </c>
      <c r="Z22" s="706"/>
      <c r="AA22" s="704"/>
      <c r="AB22" s="120"/>
      <c r="AC22" s="120" t="s">
        <v>2014</v>
      </c>
      <c r="AD22" s="57" t="str">
        <f>IF(Q22="","",IF(Q22='G-1 All Habitats'!$X$3,E22-T22-U22,"None"))</f>
        <v>None</v>
      </c>
      <c r="AE22" s="58" t="str">
        <f>IF(Q22="","", IF(Q22='G-1 All Habitats'!$X$3, AD22*G22*I22*L22*N22*P22,"None"))</f>
        <v>None</v>
      </c>
      <c r="AH22" s="30">
        <f t="shared" si="4"/>
        <v>0</v>
      </c>
      <c r="AI22" s="124" t="b">
        <f t="shared" si="5"/>
        <v>0</v>
      </c>
      <c r="AJ22" s="124" t="b">
        <f t="shared" si="6"/>
        <v>1</v>
      </c>
      <c r="AL22" s="124">
        <v>13</v>
      </c>
      <c r="AN22" s="124" t="str">
        <f t="array" ref="AN22">IFERROR(INDEX($AL$10:$AL$258, MATCH(0, IF(TRUE=$AI$10:$AI$258, COUNTIF($AN$9:$AN21, $AL$10:$AL$258), ""), 0)),"")</f>
        <v/>
      </c>
      <c r="AO22" s="124">
        <f t="array" ref="AO22">IFERROR(INDEX($AL$10:$AL$258, MATCH(0, IF(TRUE=$AJ$10:$AJ$258, COUNTIF($AO$9:$AO21, $AL$10:$AL$258), ""), 0)),"")</f>
        <v>15</v>
      </c>
      <c r="AQ22" s="30" t="str">
        <f>IFERROR(INDEX('G-7 WaterC'' Data'!$AZ$3:$AZ$7,MATCH(D22,'G-7 WaterC'' Data'!$AY$3:$AY$7,0)),"")</f>
        <v>Rivercond1</v>
      </c>
      <c r="AR22" s="30" t="str">
        <f>IFERROR(INDEX('G-7 WaterC'' Data'!AZ22:AZ26,MATCH(D22,'G-7 WaterC'' Data'!$AY$10:$AY$14,0)),"")</f>
        <v/>
      </c>
    </row>
    <row r="23" spans="3:44" ht="28.5" x14ac:dyDescent="0.2">
      <c r="C23" s="110">
        <v>14</v>
      </c>
      <c r="D23" s="337" t="s">
        <v>198</v>
      </c>
      <c r="E23" s="139">
        <v>8.8547767816046674E-2</v>
      </c>
      <c r="F23" s="362" t="str">
        <f>IF(D23="","",VLOOKUP(D23,'G-7 WaterC'' Data'!$B$2:$G$8,2,FALSE))</f>
        <v>Medium</v>
      </c>
      <c r="G23" s="363">
        <f>IFERROR(VLOOKUP(F23,'G-7 WaterC'' Data'!$C$4:$D$8,2,FALSE),"")</f>
        <v>4</v>
      </c>
      <c r="H23" s="114" t="s">
        <v>329</v>
      </c>
      <c r="I23" s="363">
        <f>IFERROR(INDEX('G-7 WaterC'' Data'!$H$4:$L$8,MATCH(D23,'G-7 WaterC'' Data'!$B$4:$B$8,0),MATCH(H23,'G-7 WaterC'' Data'!$H$3:$L$3,0)),"")</f>
        <v>1</v>
      </c>
      <c r="J23" s="320" t="s">
        <v>1037</v>
      </c>
      <c r="K23" s="398" t="str">
        <f>IF(J23="","",IF(VLOOKUP(J23,'G-7 WaterC'' Data'!$AK$4:$AM$6,2,FALSE)=0,"Spatial Data Missing ⚠",VLOOKUP(J23,'G-7 WaterC'' Data'!$AK$4:$AM$6,2,FALSE)))</f>
        <v>Low Strategic Significance</v>
      </c>
      <c r="L23" s="368">
        <f>IF(J23="","",IF(VLOOKUP(J23,'G-7 WaterC'' Data'!$AK$4:$AM$9,3,FALSE)=0,"Spatial Data Missing ⚠",VLOOKUP(J23,'G-7 WaterC'' Data'!$AK$4:$AM$6,3,FALSE)))</f>
        <v>1</v>
      </c>
      <c r="M23" s="54" t="s">
        <v>1126</v>
      </c>
      <c r="N23" s="363">
        <f>IF(M23="","",IF(VLOOKUP(M23,'G-7 WaterC'' Data'!$AA$4:$AB$7,2,FALSE)=0,"Spatial Data Missing ⚠",VLOOKUP(M23,'G-7 WaterC'' Data'!$AA$4:$AB$7,2,FALSE)))</f>
        <v>1</v>
      </c>
      <c r="O23" s="60" t="s">
        <v>1127</v>
      </c>
      <c r="P23" s="363">
        <f>IF(O23="","",IF(VLOOKUP(O23,'G-7 WaterC'' Data'!$AD$4:$AE$14,2,FALSE)=0,"Spatial Data Missing ⚠",VLOOKUP(O23,'G-7 WaterC'' Data'!$AD$4:$AE$14,2,FALSE)))</f>
        <v>0.75</v>
      </c>
      <c r="Q23" s="369" t="str">
        <f>IF(D23="","",VLOOKUP(D23,'G-7 WaterC'' Data'!$B$2:$G$8,6,FALSE))</f>
        <v>Same habitat required =</v>
      </c>
      <c r="R23" s="376">
        <f>IFERROR(IF(D23="","",IF(AND(Q23='G-1 All Habitats'!$X$3,U23&gt;0),V23+W23,IF(AND(Q23='G-1 All Habitats'!$X$3,T23&gt;0),V23+W23,IF(AND(Q23='G-1 All Habitats'!$X$3,AD23&gt;0),"Any Loss Unacceptable ⚠",IF(AND(Q23='G-1 All Habitats'!$X$3,AE23&gt;0),"Any Loss Unacceptable ⚠", E23*G23*I23*L23*N23*P23 ))))),"Check Data ▲")</f>
        <v>0.26564330344814002</v>
      </c>
      <c r="S23" s="32"/>
      <c r="T23" s="114">
        <v>0</v>
      </c>
      <c r="U23" s="125">
        <v>8.8547767816046674E-2</v>
      </c>
      <c r="V23" s="374">
        <f t="shared" si="0"/>
        <v>0</v>
      </c>
      <c r="W23" s="374">
        <f t="shared" si="1"/>
        <v>0.26564330344814002</v>
      </c>
      <c r="X23" s="374">
        <f t="shared" si="2"/>
        <v>0</v>
      </c>
      <c r="Y23" s="670">
        <f t="shared" si="3"/>
        <v>0</v>
      </c>
      <c r="Z23" s="706"/>
      <c r="AA23" s="704"/>
      <c r="AB23" s="120"/>
      <c r="AC23" s="120" t="s">
        <v>2015</v>
      </c>
      <c r="AD23" s="57" t="str">
        <f>IF(Q23="","",IF(Q23='G-1 All Habitats'!$X$3,E23-T23-U23,"None"))</f>
        <v>None</v>
      </c>
      <c r="AE23" s="58" t="str">
        <f>IF(Q23="","", IF(Q23='G-1 All Habitats'!$X$3, AD23*G23*I23*L23*N23*P23,"None"))</f>
        <v>None</v>
      </c>
      <c r="AH23" s="30">
        <f t="shared" si="4"/>
        <v>0</v>
      </c>
      <c r="AI23" s="124" t="b">
        <f t="shared" si="5"/>
        <v>0</v>
      </c>
      <c r="AJ23" s="124" t="b">
        <f t="shared" si="6"/>
        <v>1</v>
      </c>
      <c r="AL23" s="124">
        <v>14</v>
      </c>
      <c r="AN23" s="124" t="str">
        <f t="array" ref="AN23">IFERROR(INDEX($AL$10:$AL$258, MATCH(0, IF(TRUE=$AI$10:$AI$258, COUNTIF($AN$9:$AN22, $AL$10:$AL$258), ""), 0)),"")</f>
        <v/>
      </c>
      <c r="AO23" s="124">
        <f t="array" ref="AO23">IFERROR(INDEX($AL$10:$AL$258, MATCH(0, IF(TRUE=$AJ$10:$AJ$258, COUNTIF($AO$9:$AO22, $AL$10:$AL$258), ""), 0)),"")</f>
        <v>16</v>
      </c>
      <c r="AQ23" s="30" t="str">
        <f>IFERROR(INDEX('G-7 WaterC'' Data'!$AZ$3:$AZ$7,MATCH(D23,'G-7 WaterC'' Data'!$AY$3:$AY$7,0)),"")</f>
        <v>Rivercond1</v>
      </c>
      <c r="AR23" s="30" t="str">
        <f>IFERROR(INDEX('G-7 WaterC'' Data'!AZ23:AZ27,MATCH(D23,'G-7 WaterC'' Data'!$AY$10:$AY$14,0)),"")</f>
        <v/>
      </c>
    </row>
    <row r="24" spans="3:44" ht="28.5" x14ac:dyDescent="0.2">
      <c r="C24" s="110">
        <v>15</v>
      </c>
      <c r="D24" s="337" t="s">
        <v>198</v>
      </c>
      <c r="E24" s="139">
        <v>1.1481640115863465</v>
      </c>
      <c r="F24" s="362" t="str">
        <f>IF(D24="","",VLOOKUP(D24,'G-7 WaterC'' Data'!$B$2:$G$8,2,FALSE))</f>
        <v>Medium</v>
      </c>
      <c r="G24" s="363">
        <f>IFERROR(VLOOKUP(F24,'G-7 WaterC'' Data'!$C$4:$D$8,2,FALSE),"")</f>
        <v>4</v>
      </c>
      <c r="H24" s="114" t="s">
        <v>329</v>
      </c>
      <c r="I24" s="363">
        <f>IFERROR(INDEX('G-7 WaterC'' Data'!$H$4:$L$8,MATCH(D24,'G-7 WaterC'' Data'!$B$4:$B$8,0),MATCH(H24,'G-7 WaterC'' Data'!$H$3:$L$3,0)),"")</f>
        <v>1</v>
      </c>
      <c r="J24" s="320" t="s">
        <v>1037</v>
      </c>
      <c r="K24" s="398" t="str">
        <f>IF(J24="","",IF(VLOOKUP(J24,'G-7 WaterC'' Data'!$AK$4:$AM$6,2,FALSE)=0,"Spatial Data Missing ⚠",VLOOKUP(J24,'G-7 WaterC'' Data'!$AK$4:$AM$6,2,FALSE)))</f>
        <v>Low Strategic Significance</v>
      </c>
      <c r="L24" s="368">
        <f>IF(J24="","",IF(VLOOKUP(J24,'G-7 WaterC'' Data'!$AK$4:$AM$9,3,FALSE)=0,"Spatial Data Missing ⚠",VLOOKUP(J24,'G-7 WaterC'' Data'!$AK$4:$AM$6,3,FALSE)))</f>
        <v>1</v>
      </c>
      <c r="M24" s="54" t="s">
        <v>1126</v>
      </c>
      <c r="N24" s="363">
        <f>IF(M24="","",IF(VLOOKUP(M24,'G-7 WaterC'' Data'!$AA$4:$AB$7,2,FALSE)=0,"Spatial Data Missing ⚠",VLOOKUP(M24,'G-7 WaterC'' Data'!$AA$4:$AB$7,2,FALSE)))</f>
        <v>1</v>
      </c>
      <c r="O24" s="60" t="s">
        <v>1127</v>
      </c>
      <c r="P24" s="363">
        <f>IF(O24="","",IF(VLOOKUP(O24,'G-7 WaterC'' Data'!$AD$4:$AE$14,2,FALSE)=0,"Spatial Data Missing ⚠",VLOOKUP(O24,'G-7 WaterC'' Data'!$AD$4:$AE$14,2,FALSE)))</f>
        <v>0.75</v>
      </c>
      <c r="Q24" s="369" t="str">
        <f>IF(D24="","",VLOOKUP(D24,'G-7 WaterC'' Data'!$B$2:$G$8,6,FALSE))</f>
        <v>Same habitat required =</v>
      </c>
      <c r="R24" s="376">
        <f>IFERROR(IF(D24="","",IF(AND(Q24='G-1 All Habitats'!$X$3,U24&gt;0),V24+W24,IF(AND(Q24='G-1 All Habitats'!$X$3,T24&gt;0),V24+W24,IF(AND(Q24='G-1 All Habitats'!$X$3,AD24&gt;0),"Any Loss Unacceptable ⚠",IF(AND(Q24='G-1 All Habitats'!$X$3,AE24&gt;0),"Any Loss Unacceptable ⚠", E24*G24*I24*L24*N24*P24 ))))),"Check Data ▲")</f>
        <v>3.4444920347590395</v>
      </c>
      <c r="S24" s="32"/>
      <c r="T24" s="114">
        <v>0</v>
      </c>
      <c r="U24" s="125">
        <v>1.1481640115863465</v>
      </c>
      <c r="V24" s="374">
        <f t="shared" si="0"/>
        <v>0</v>
      </c>
      <c r="W24" s="374">
        <f t="shared" si="1"/>
        <v>3.4444920347590395</v>
      </c>
      <c r="X24" s="374">
        <f t="shared" si="2"/>
        <v>0</v>
      </c>
      <c r="Y24" s="670">
        <f t="shared" si="3"/>
        <v>0</v>
      </c>
      <c r="Z24" s="706"/>
      <c r="AA24" s="704"/>
      <c r="AB24" s="120"/>
      <c r="AC24" s="120" t="s">
        <v>2016</v>
      </c>
      <c r="AD24" s="57" t="str">
        <f>IF(Q24="","",IF(Q24='G-1 All Habitats'!$X$3,E24-T24-U24,"None"))</f>
        <v>None</v>
      </c>
      <c r="AE24" s="58" t="str">
        <f>IF(Q24="","", IF(Q24='G-1 All Habitats'!$X$3, AD24*G24*I24*L24*N24*P24,"None"))</f>
        <v>None</v>
      </c>
      <c r="AH24" s="30">
        <f t="shared" si="4"/>
        <v>0</v>
      </c>
      <c r="AI24" s="124" t="b">
        <f t="shared" si="5"/>
        <v>0</v>
      </c>
      <c r="AJ24" s="124" t="b">
        <f t="shared" si="6"/>
        <v>1</v>
      </c>
      <c r="AL24" s="124">
        <v>15</v>
      </c>
      <c r="AN24" s="124" t="str">
        <f t="array" ref="AN24">IFERROR(INDEX($AL$10:$AL$258, MATCH(0, IF(TRUE=$AI$10:$AI$258, COUNTIF($AN$9:$AN23, $AL$10:$AL$258), ""), 0)),"")</f>
        <v/>
      </c>
      <c r="AO24" s="124">
        <f t="array" ref="AO24">IFERROR(INDEX($AL$10:$AL$258, MATCH(0, IF(TRUE=$AJ$10:$AJ$258, COUNTIF($AO$9:$AO23, $AL$10:$AL$258), ""), 0)),"")</f>
        <v>17</v>
      </c>
      <c r="AQ24" s="30" t="str">
        <f>IFERROR(INDEX('G-7 WaterC'' Data'!$AZ$3:$AZ$7,MATCH(D24,'G-7 WaterC'' Data'!$AY$3:$AY$7,0)),"")</f>
        <v>Rivercond1</v>
      </c>
      <c r="AR24" s="30" t="str">
        <f>IFERROR(INDEX('G-7 WaterC'' Data'!AZ24:AZ28,MATCH(D24,'G-7 WaterC'' Data'!$AY$10:$AY$14,0)),"")</f>
        <v/>
      </c>
    </row>
    <row r="25" spans="3:44" ht="28.5" x14ac:dyDescent="0.2">
      <c r="C25" s="110">
        <v>16</v>
      </c>
      <c r="D25" s="337" t="s">
        <v>198</v>
      </c>
      <c r="E25" s="139">
        <v>9.538275713586437E-3</v>
      </c>
      <c r="F25" s="362" t="str">
        <f>IF(D25="","",VLOOKUP(D25,'G-7 WaterC'' Data'!$B$2:$G$8,2,FALSE))</f>
        <v>Medium</v>
      </c>
      <c r="G25" s="363">
        <f>IFERROR(VLOOKUP(F25,'G-7 WaterC'' Data'!$C$4:$D$8,2,FALSE),"")</f>
        <v>4</v>
      </c>
      <c r="H25" s="114" t="s">
        <v>329</v>
      </c>
      <c r="I25" s="363">
        <f>IFERROR(INDEX('G-7 WaterC'' Data'!$H$4:$L$8,MATCH(D25,'G-7 WaterC'' Data'!$B$4:$B$8,0),MATCH(H25,'G-7 WaterC'' Data'!$H$3:$L$3,0)),"")</f>
        <v>1</v>
      </c>
      <c r="J25" s="320" t="s">
        <v>1029</v>
      </c>
      <c r="K25" s="398" t="str">
        <f>IF(J25="","",IF(VLOOKUP(J25,'G-7 WaterC'' Data'!$AK$4:$AM$6,2,FALSE)=0,"Spatial Data Missing ⚠",VLOOKUP(J25,'G-7 WaterC'' Data'!$AK$4:$AM$6,2,FALSE)))</f>
        <v xml:space="preserve">High strategic significance </v>
      </c>
      <c r="L25" s="368">
        <f>IF(J25="","",IF(VLOOKUP(J25,'G-7 WaterC'' Data'!$AK$4:$AM$9,3,FALSE)=0,"Spatial Data Missing ⚠",VLOOKUP(J25,'G-7 WaterC'' Data'!$AK$4:$AM$6,3,FALSE)))</f>
        <v>1.1499999999999999</v>
      </c>
      <c r="M25" s="54" t="s">
        <v>1126</v>
      </c>
      <c r="N25" s="363">
        <f>IF(M25="","",IF(VLOOKUP(M25,'G-7 WaterC'' Data'!$AA$4:$AB$7,2,FALSE)=0,"Spatial Data Missing ⚠",VLOOKUP(M25,'G-7 WaterC'' Data'!$AA$4:$AB$7,2,FALSE)))</f>
        <v>1</v>
      </c>
      <c r="O25" s="60" t="s">
        <v>1127</v>
      </c>
      <c r="P25" s="363">
        <f>IF(O25="","",IF(VLOOKUP(O25,'G-7 WaterC'' Data'!$AD$4:$AE$14,2,FALSE)=0,"Spatial Data Missing ⚠",VLOOKUP(O25,'G-7 WaterC'' Data'!$AD$4:$AE$14,2,FALSE)))</f>
        <v>0.75</v>
      </c>
      <c r="Q25" s="369" t="str">
        <f>IF(D25="","",VLOOKUP(D25,'G-7 WaterC'' Data'!$B$2:$G$8,6,FALSE))</f>
        <v>Same habitat required =</v>
      </c>
      <c r="R25" s="376">
        <f>IFERROR(IF(D25="","",IF(AND(Q25='G-1 All Habitats'!$X$3,U25&gt;0),V25+W25,IF(AND(Q25='G-1 All Habitats'!$X$3,T25&gt;0),V25+W25,IF(AND(Q25='G-1 All Habitats'!$X$3,AD25&gt;0),"Any Loss Unacceptable ⚠",IF(AND(Q25='G-1 All Habitats'!$X$3,AE25&gt;0),"Any Loss Unacceptable ⚠", E25*G25*I25*L25*N25*P25 ))))),"Check Data ▲")</f>
        <v>3.2907051211873206E-2</v>
      </c>
      <c r="S25" s="32"/>
      <c r="T25" s="114">
        <v>0</v>
      </c>
      <c r="U25" s="125">
        <v>9.538275713586437E-3</v>
      </c>
      <c r="V25" s="374">
        <f t="shared" si="0"/>
        <v>0</v>
      </c>
      <c r="W25" s="374">
        <f t="shared" si="1"/>
        <v>3.2907051211873206E-2</v>
      </c>
      <c r="X25" s="374">
        <f t="shared" si="2"/>
        <v>0</v>
      </c>
      <c r="Y25" s="670">
        <f t="shared" si="3"/>
        <v>0</v>
      </c>
      <c r="Z25" s="706"/>
      <c r="AA25" s="704"/>
      <c r="AB25" s="120"/>
      <c r="AC25" s="120" t="s">
        <v>2017</v>
      </c>
      <c r="AD25" s="57" t="str">
        <f>IF(Q25="","",IF(Q25='G-1 All Habitats'!$X$3,E25-T25-U25,"None"))</f>
        <v>None</v>
      </c>
      <c r="AE25" s="58" t="str">
        <f>IF(Q25="","", IF(Q25='G-1 All Habitats'!$X$3, AD25*G25*I25*L25*N25*P25,"None"))</f>
        <v>None</v>
      </c>
      <c r="AH25" s="30">
        <f t="shared" si="4"/>
        <v>0</v>
      </c>
      <c r="AI25" s="124" t="b">
        <f t="shared" si="5"/>
        <v>0</v>
      </c>
      <c r="AJ25" s="124" t="b">
        <f t="shared" si="6"/>
        <v>1</v>
      </c>
      <c r="AL25" s="124">
        <v>16</v>
      </c>
      <c r="AN25" s="124" t="str">
        <f t="array" ref="AN25">IFERROR(INDEX($AL$10:$AL$258, MATCH(0, IF(TRUE=$AI$10:$AI$258, COUNTIF($AN$9:$AN24, $AL$10:$AL$258), ""), 0)),"")</f>
        <v/>
      </c>
      <c r="AO25" s="124">
        <f t="array" ref="AO25">IFERROR(INDEX($AL$10:$AL$258, MATCH(0, IF(TRUE=$AJ$10:$AJ$258, COUNTIF($AO$9:$AO24, $AL$10:$AL$258), ""), 0)),"")</f>
        <v>18</v>
      </c>
      <c r="AQ25" s="30" t="str">
        <f>IFERROR(INDEX('G-7 WaterC'' Data'!$AZ$3:$AZ$7,MATCH(D25,'G-7 WaterC'' Data'!$AY$3:$AY$7,0)),"")</f>
        <v>Rivercond1</v>
      </c>
      <c r="AR25" s="30" t="str">
        <f>IFERROR(INDEX('G-7 WaterC'' Data'!AZ25:AZ29,MATCH(D25,'G-7 WaterC'' Data'!$AY$10:$AY$14,0)),"")</f>
        <v/>
      </c>
    </row>
    <row r="26" spans="3:44" ht="28.5" x14ac:dyDescent="0.2">
      <c r="C26" s="110">
        <v>17</v>
      </c>
      <c r="D26" s="337" t="s">
        <v>198</v>
      </c>
      <c r="E26" s="139">
        <v>0.48910357087939849</v>
      </c>
      <c r="F26" s="362" t="str">
        <f>IF(D26="","",VLOOKUP(D26,'G-7 WaterC'' Data'!$B$2:$G$8,2,FALSE))</f>
        <v>Medium</v>
      </c>
      <c r="G26" s="363">
        <f>IFERROR(VLOOKUP(F26,'G-7 WaterC'' Data'!$C$4:$D$8,2,FALSE),"")</f>
        <v>4</v>
      </c>
      <c r="H26" s="114" t="s">
        <v>329</v>
      </c>
      <c r="I26" s="363">
        <f>IFERROR(INDEX('G-7 WaterC'' Data'!$H$4:$L$8,MATCH(D26,'G-7 WaterC'' Data'!$B$4:$B$8,0),MATCH(H26,'G-7 WaterC'' Data'!$H$3:$L$3,0)),"")</f>
        <v>1</v>
      </c>
      <c r="J26" s="320" t="s">
        <v>1037</v>
      </c>
      <c r="K26" s="398" t="str">
        <f>IF(J26="","",IF(VLOOKUP(J26,'G-7 WaterC'' Data'!$AK$4:$AM$6,2,FALSE)=0,"Spatial Data Missing ⚠",VLOOKUP(J26,'G-7 WaterC'' Data'!$AK$4:$AM$6,2,FALSE)))</f>
        <v>Low Strategic Significance</v>
      </c>
      <c r="L26" s="368">
        <f>IF(J26="","",IF(VLOOKUP(J26,'G-7 WaterC'' Data'!$AK$4:$AM$9,3,FALSE)=0,"Spatial Data Missing ⚠",VLOOKUP(J26,'G-7 WaterC'' Data'!$AK$4:$AM$6,3,FALSE)))</f>
        <v>1</v>
      </c>
      <c r="M26" s="54" t="s">
        <v>1126</v>
      </c>
      <c r="N26" s="363">
        <f>IF(M26="","",IF(VLOOKUP(M26,'G-7 WaterC'' Data'!$AA$4:$AB$7,2,FALSE)=0,"Spatial Data Missing ⚠",VLOOKUP(M26,'G-7 WaterC'' Data'!$AA$4:$AB$7,2,FALSE)))</f>
        <v>1</v>
      </c>
      <c r="O26" s="60" t="s">
        <v>1127</v>
      </c>
      <c r="P26" s="363">
        <f>IF(O26="","",IF(VLOOKUP(O26,'G-7 WaterC'' Data'!$AD$4:$AE$14,2,FALSE)=0,"Spatial Data Missing ⚠",VLOOKUP(O26,'G-7 WaterC'' Data'!$AD$4:$AE$14,2,FALSE)))</f>
        <v>0.75</v>
      </c>
      <c r="Q26" s="369" t="str">
        <f>IF(D26="","",VLOOKUP(D26,'G-7 WaterC'' Data'!$B$2:$G$8,6,FALSE))</f>
        <v>Same habitat required =</v>
      </c>
      <c r="R26" s="376">
        <f>IFERROR(IF(D26="","",IF(AND(Q26='G-1 All Habitats'!$X$3,U26&gt;0),V26+W26,IF(AND(Q26='G-1 All Habitats'!$X$3,T26&gt;0),V26+W26,IF(AND(Q26='G-1 All Habitats'!$X$3,AD26&gt;0),"Any Loss Unacceptable ⚠",IF(AND(Q26='G-1 All Habitats'!$X$3,AE26&gt;0),"Any Loss Unacceptable ⚠", E26*G26*I26*L26*N26*P26 ))))),"Check Data ▲")</f>
        <v>1.4673107126381955</v>
      </c>
      <c r="S26" s="32"/>
      <c r="T26" s="114">
        <v>0</v>
      </c>
      <c r="U26" s="125">
        <v>0.48910357087939849</v>
      </c>
      <c r="V26" s="374">
        <f t="shared" si="0"/>
        <v>0</v>
      </c>
      <c r="W26" s="374">
        <f t="shared" si="1"/>
        <v>1.4673107126381955</v>
      </c>
      <c r="X26" s="374">
        <f t="shared" si="2"/>
        <v>0</v>
      </c>
      <c r="Y26" s="670">
        <f t="shared" si="3"/>
        <v>0</v>
      </c>
      <c r="Z26" s="706"/>
      <c r="AA26" s="704"/>
      <c r="AB26" s="120"/>
      <c r="AC26" s="120" t="s">
        <v>2018</v>
      </c>
      <c r="AD26" s="57" t="str">
        <f>IF(Q26="","",IF(Q26='G-1 All Habitats'!$X$3,E26-T26-U26,"None"))</f>
        <v>None</v>
      </c>
      <c r="AE26" s="58" t="str">
        <f>IF(Q26="","", IF(Q26='G-1 All Habitats'!$X$3, AD26*G26*I26*L26*N26*P26,"None"))</f>
        <v>None</v>
      </c>
      <c r="AH26" s="30">
        <f t="shared" si="4"/>
        <v>0</v>
      </c>
      <c r="AI26" s="124" t="b">
        <f t="shared" si="5"/>
        <v>0</v>
      </c>
      <c r="AJ26" s="124" t="b">
        <f t="shared" si="6"/>
        <v>1</v>
      </c>
      <c r="AL26" s="124">
        <v>17</v>
      </c>
      <c r="AN26" s="124" t="str">
        <f t="array" ref="AN26">IFERROR(INDEX($AL$10:$AL$258, MATCH(0, IF(TRUE=$AI$10:$AI$258, COUNTIF($AN$9:$AN25, $AL$10:$AL$258), ""), 0)),"")</f>
        <v/>
      </c>
      <c r="AO26" s="124">
        <f t="array" ref="AO26">IFERROR(INDEX($AL$10:$AL$258, MATCH(0, IF(TRUE=$AJ$10:$AJ$258, COUNTIF($AO$9:$AO25, $AL$10:$AL$258), ""), 0)),"")</f>
        <v>19</v>
      </c>
      <c r="AQ26" s="30" t="str">
        <f>IFERROR(INDEX('G-7 WaterC'' Data'!$AZ$3:$AZ$7,MATCH(D26,'G-7 WaterC'' Data'!$AY$3:$AY$7,0)),"")</f>
        <v>Rivercond1</v>
      </c>
      <c r="AR26" s="30" t="str">
        <f>IFERROR(INDEX('G-7 WaterC'' Data'!AZ26:AZ30,MATCH(D26,'G-7 WaterC'' Data'!$AY$10:$AY$14,0)),"")</f>
        <v/>
      </c>
    </row>
    <row r="27" spans="3:44" ht="28.5" x14ac:dyDescent="0.2">
      <c r="C27" s="110">
        <v>18</v>
      </c>
      <c r="D27" s="337" t="s">
        <v>198</v>
      </c>
      <c r="E27" s="139">
        <v>0.45934848390362532</v>
      </c>
      <c r="F27" s="362" t="str">
        <f>IF(D27="","",VLOOKUP(D27,'G-7 WaterC'' Data'!$B$2:$G$8,2,FALSE))</f>
        <v>Medium</v>
      </c>
      <c r="G27" s="363">
        <f>IFERROR(VLOOKUP(F27,'G-7 WaterC'' Data'!$C$4:$D$8,2,FALSE),"")</f>
        <v>4</v>
      </c>
      <c r="H27" s="114" t="s">
        <v>329</v>
      </c>
      <c r="I27" s="363">
        <f>IFERROR(INDEX('G-7 WaterC'' Data'!$H$4:$L$8,MATCH(D27,'G-7 WaterC'' Data'!$B$4:$B$8,0),MATCH(H27,'G-7 WaterC'' Data'!$H$3:$L$3,0)),"")</f>
        <v>1</v>
      </c>
      <c r="J27" s="320" t="s">
        <v>1037</v>
      </c>
      <c r="K27" s="398" t="str">
        <f>IF(J27="","",IF(VLOOKUP(J27,'G-7 WaterC'' Data'!$AK$4:$AM$6,2,FALSE)=0,"Spatial Data Missing ⚠",VLOOKUP(J27,'G-7 WaterC'' Data'!$AK$4:$AM$6,2,FALSE)))</f>
        <v>Low Strategic Significance</v>
      </c>
      <c r="L27" s="368">
        <f>IF(J27="","",IF(VLOOKUP(J27,'G-7 WaterC'' Data'!$AK$4:$AM$9,3,FALSE)=0,"Spatial Data Missing ⚠",VLOOKUP(J27,'G-7 WaterC'' Data'!$AK$4:$AM$6,3,FALSE)))</f>
        <v>1</v>
      </c>
      <c r="M27" s="54" t="s">
        <v>1126</v>
      </c>
      <c r="N27" s="363">
        <f>IF(M27="","",IF(VLOOKUP(M27,'G-7 WaterC'' Data'!$AA$4:$AB$7,2,FALSE)=0,"Spatial Data Missing ⚠",VLOOKUP(M27,'G-7 WaterC'' Data'!$AA$4:$AB$7,2,FALSE)))</f>
        <v>1</v>
      </c>
      <c r="O27" s="60" t="s">
        <v>1127</v>
      </c>
      <c r="P27" s="363">
        <f>IF(O27="","",IF(VLOOKUP(O27,'G-7 WaterC'' Data'!$AD$4:$AE$14,2,FALSE)=0,"Spatial Data Missing ⚠",VLOOKUP(O27,'G-7 WaterC'' Data'!$AD$4:$AE$14,2,FALSE)))</f>
        <v>0.75</v>
      </c>
      <c r="Q27" s="369" t="str">
        <f>IF(D27="","",VLOOKUP(D27,'G-7 WaterC'' Data'!$B$2:$G$8,6,FALSE))</f>
        <v>Same habitat required =</v>
      </c>
      <c r="R27" s="376">
        <f>IFERROR(IF(D27="","",IF(AND(Q27='G-1 All Habitats'!$X$3,U27&gt;0),V27+W27,IF(AND(Q27='G-1 All Habitats'!$X$3,T27&gt;0),V27+W27,IF(AND(Q27='G-1 All Habitats'!$X$3,AD27&gt;0),"Any Loss Unacceptable ⚠",IF(AND(Q27='G-1 All Habitats'!$X$3,AE27&gt;0),"Any Loss Unacceptable ⚠", E27*G27*I27*L27*N27*P27 ))))),"Check Data ▲")</f>
        <v>1.378045451710876</v>
      </c>
      <c r="S27" s="32"/>
      <c r="T27" s="114">
        <v>0</v>
      </c>
      <c r="U27" s="125">
        <v>0.45934848390362532</v>
      </c>
      <c r="V27" s="374">
        <f t="shared" si="0"/>
        <v>0</v>
      </c>
      <c r="W27" s="374">
        <f t="shared" si="1"/>
        <v>1.378045451710876</v>
      </c>
      <c r="X27" s="374">
        <f t="shared" si="2"/>
        <v>0</v>
      </c>
      <c r="Y27" s="670">
        <f t="shared" si="3"/>
        <v>0</v>
      </c>
      <c r="Z27" s="706"/>
      <c r="AA27" s="704"/>
      <c r="AB27" s="120"/>
      <c r="AC27" s="120" t="s">
        <v>2019</v>
      </c>
      <c r="AD27" s="57" t="str">
        <f>IF(Q27="","",IF(Q27='G-1 All Habitats'!$X$3,E27-T27-U27,"None"))</f>
        <v>None</v>
      </c>
      <c r="AE27" s="58" t="str">
        <f>IF(Q27="","", IF(Q27='G-1 All Habitats'!$X$3, AD27*G27*I27*L27*N27*P27,"None"))</f>
        <v>None</v>
      </c>
      <c r="AH27" s="30">
        <f t="shared" si="4"/>
        <v>0</v>
      </c>
      <c r="AI27" s="124" t="b">
        <f t="shared" si="5"/>
        <v>0</v>
      </c>
      <c r="AJ27" s="124" t="b">
        <f t="shared" si="6"/>
        <v>1</v>
      </c>
      <c r="AL27" s="124">
        <v>18</v>
      </c>
      <c r="AN27" s="124" t="str">
        <f t="array" ref="AN27">IFERROR(INDEX($AL$10:$AL$258, MATCH(0, IF(TRUE=$AI$10:$AI$258, COUNTIF($AN$9:$AN26, $AL$10:$AL$258), ""), 0)),"")</f>
        <v/>
      </c>
      <c r="AO27" s="124">
        <f t="array" ref="AO27">IFERROR(INDEX($AL$10:$AL$258, MATCH(0, IF(TRUE=$AJ$10:$AJ$258, COUNTIF($AO$9:$AO26, $AL$10:$AL$258), ""), 0)),"")</f>
        <v>22</v>
      </c>
      <c r="AQ27" s="30" t="str">
        <f>IFERROR(INDEX('G-7 WaterC'' Data'!$AZ$3:$AZ$7,MATCH(D27,'G-7 WaterC'' Data'!$AY$3:$AY$7,0)),"")</f>
        <v>Rivercond1</v>
      </c>
      <c r="AR27" s="30" t="str">
        <f>IFERROR(INDEX('G-7 WaterC'' Data'!AZ27:AZ31,MATCH(D27,'G-7 WaterC'' Data'!$AY$10:$AY$14,0)),"")</f>
        <v/>
      </c>
    </row>
    <row r="28" spans="3:44" ht="28.5" x14ac:dyDescent="0.2">
      <c r="C28" s="110">
        <v>19</v>
      </c>
      <c r="D28" s="337" t="s">
        <v>198</v>
      </c>
      <c r="E28" s="139">
        <v>8.2967604407138101E-2</v>
      </c>
      <c r="F28" s="362" t="str">
        <f>IF(D28="","",VLOOKUP(D28,'G-7 WaterC'' Data'!$B$2:$G$8,2,FALSE))</f>
        <v>Medium</v>
      </c>
      <c r="G28" s="363">
        <f>IFERROR(VLOOKUP(F28,'G-7 WaterC'' Data'!$C$4:$D$8,2,FALSE),"")</f>
        <v>4</v>
      </c>
      <c r="H28" s="114" t="s">
        <v>329</v>
      </c>
      <c r="I28" s="363">
        <f>IFERROR(INDEX('G-7 WaterC'' Data'!$H$4:$L$8,MATCH(D28,'G-7 WaterC'' Data'!$B$4:$B$8,0),MATCH(H28,'G-7 WaterC'' Data'!$H$3:$L$3,0)),"")</f>
        <v>1</v>
      </c>
      <c r="J28" s="320" t="s">
        <v>1037</v>
      </c>
      <c r="K28" s="398" t="str">
        <f>IF(J28="","",IF(VLOOKUP(J28,'G-7 WaterC'' Data'!$AK$4:$AM$6,2,FALSE)=0,"Spatial Data Missing ⚠",VLOOKUP(J28,'G-7 WaterC'' Data'!$AK$4:$AM$6,2,FALSE)))</f>
        <v>Low Strategic Significance</v>
      </c>
      <c r="L28" s="368">
        <f>IF(J28="","",IF(VLOOKUP(J28,'G-7 WaterC'' Data'!$AK$4:$AM$9,3,FALSE)=0,"Spatial Data Missing ⚠",VLOOKUP(J28,'G-7 WaterC'' Data'!$AK$4:$AM$6,3,FALSE)))</f>
        <v>1</v>
      </c>
      <c r="M28" s="54" t="s">
        <v>1126</v>
      </c>
      <c r="N28" s="363">
        <f>IF(M28="","",IF(VLOOKUP(M28,'G-7 WaterC'' Data'!$AA$4:$AB$7,2,FALSE)=0,"Spatial Data Missing ⚠",VLOOKUP(M28,'G-7 WaterC'' Data'!$AA$4:$AB$7,2,FALSE)))</f>
        <v>1</v>
      </c>
      <c r="O28" s="60" t="s">
        <v>1127</v>
      </c>
      <c r="P28" s="363">
        <f>IF(O28="","",IF(VLOOKUP(O28,'G-7 WaterC'' Data'!$AD$4:$AE$14,2,FALSE)=0,"Spatial Data Missing ⚠",VLOOKUP(O28,'G-7 WaterC'' Data'!$AD$4:$AE$14,2,FALSE)))</f>
        <v>0.75</v>
      </c>
      <c r="Q28" s="369" t="str">
        <f>IF(D28="","",VLOOKUP(D28,'G-7 WaterC'' Data'!$B$2:$G$8,6,FALSE))</f>
        <v>Same habitat required =</v>
      </c>
      <c r="R28" s="376">
        <f>IFERROR(IF(D28="","",IF(AND(Q28='G-1 All Habitats'!$X$3,U28&gt;0),V28+W28,IF(AND(Q28='G-1 All Habitats'!$X$3,T28&gt;0),V28+W28,IF(AND(Q28='G-1 All Habitats'!$X$3,AD28&gt;0),"Any Loss Unacceptable ⚠",IF(AND(Q28='G-1 All Habitats'!$X$3,AE28&gt;0),"Any Loss Unacceptable ⚠", E28*G28*I28*L28*N28*P28 ))))),"Check Data ▲")</f>
        <v>0.2489028132214143</v>
      </c>
      <c r="S28" s="32"/>
      <c r="T28" s="114">
        <v>0</v>
      </c>
      <c r="U28" s="125">
        <v>8.2967604407138101E-2</v>
      </c>
      <c r="V28" s="374">
        <f t="shared" si="0"/>
        <v>0</v>
      </c>
      <c r="W28" s="374">
        <f t="shared" si="1"/>
        <v>0.2489028132214143</v>
      </c>
      <c r="X28" s="374">
        <f t="shared" si="2"/>
        <v>0</v>
      </c>
      <c r="Y28" s="670">
        <f t="shared" si="3"/>
        <v>0</v>
      </c>
      <c r="Z28" s="706"/>
      <c r="AA28" s="704"/>
      <c r="AB28" s="120"/>
      <c r="AC28" s="120" t="s">
        <v>2020</v>
      </c>
      <c r="AD28" s="57" t="str">
        <f>IF(Q28="","",IF(Q28='G-1 All Habitats'!$X$3,E28-T28-U28,"None"))</f>
        <v>None</v>
      </c>
      <c r="AE28" s="58" t="str">
        <f>IF(Q28="","", IF(Q28='G-1 All Habitats'!$X$3, AD28*G28*I28*L28*N28*P28,"None"))</f>
        <v>None</v>
      </c>
      <c r="AH28" s="30">
        <f t="shared" si="4"/>
        <v>0</v>
      </c>
      <c r="AI28" s="124" t="b">
        <f t="shared" si="5"/>
        <v>0</v>
      </c>
      <c r="AJ28" s="124" t="b">
        <f t="shared" si="6"/>
        <v>1</v>
      </c>
      <c r="AL28" s="124">
        <v>19</v>
      </c>
      <c r="AN28" s="124" t="str">
        <f t="array" ref="AN28">IFERROR(INDEX($AL$10:$AL$258, MATCH(0, IF(TRUE=$AI$10:$AI$258, COUNTIF($AN$9:$AN27, $AL$10:$AL$258), ""), 0)),"")</f>
        <v/>
      </c>
      <c r="AO28" s="124">
        <f t="array" ref="AO28">IFERROR(INDEX($AL$10:$AL$258, MATCH(0, IF(TRUE=$AJ$10:$AJ$258, COUNTIF($AO$9:$AO27, $AL$10:$AL$258), ""), 0)),"")</f>
        <v>23</v>
      </c>
      <c r="AQ28" s="30" t="str">
        <f>IFERROR(INDEX('G-7 WaterC'' Data'!$AZ$3:$AZ$7,MATCH(D28,'G-7 WaterC'' Data'!$AY$3:$AY$7,0)),"")</f>
        <v>Rivercond1</v>
      </c>
      <c r="AR28" s="30" t="str">
        <f>IFERROR(INDEX('G-7 WaterC'' Data'!AZ28:AZ32,MATCH(D28,'G-7 WaterC'' Data'!$AY$10:$AY$14,0)),"")</f>
        <v/>
      </c>
    </row>
    <row r="29" spans="3:44" ht="28.5" x14ac:dyDescent="0.2">
      <c r="C29" s="110">
        <v>20</v>
      </c>
      <c r="D29" s="337" t="s">
        <v>198</v>
      </c>
      <c r="E29" s="139">
        <v>1.5198074702996512E-2</v>
      </c>
      <c r="F29" s="362" t="str">
        <f>IF(D29="","",VLOOKUP(D29,'G-7 WaterC'' Data'!$B$2:$G$8,2,FALSE))</f>
        <v>Medium</v>
      </c>
      <c r="G29" s="363">
        <f>IFERROR(VLOOKUP(F29,'G-7 WaterC'' Data'!$C$4:$D$8,2,FALSE),"")</f>
        <v>4</v>
      </c>
      <c r="H29" s="114" t="s">
        <v>329</v>
      </c>
      <c r="I29" s="363">
        <f>IFERROR(INDEX('G-7 WaterC'' Data'!$H$4:$L$8,MATCH(D29,'G-7 WaterC'' Data'!$B$4:$B$8,0),MATCH(H29,'G-7 WaterC'' Data'!$H$3:$L$3,0)),"")</f>
        <v>1</v>
      </c>
      <c r="J29" s="320" t="s">
        <v>1029</v>
      </c>
      <c r="K29" s="398" t="str">
        <f>IF(J29="","",IF(VLOOKUP(J29,'G-7 WaterC'' Data'!$AK$4:$AM$6,2,FALSE)=0,"Spatial Data Missing ⚠",VLOOKUP(J29,'G-7 WaterC'' Data'!$AK$4:$AM$6,2,FALSE)))</f>
        <v xml:space="preserve">High strategic significance </v>
      </c>
      <c r="L29" s="368">
        <f>IF(J29="","",IF(VLOOKUP(J29,'G-7 WaterC'' Data'!$AK$4:$AM$9,3,FALSE)=0,"Spatial Data Missing ⚠",VLOOKUP(J29,'G-7 WaterC'' Data'!$AK$4:$AM$6,3,FALSE)))</f>
        <v>1.1499999999999999</v>
      </c>
      <c r="M29" s="54" t="s">
        <v>1126</v>
      </c>
      <c r="N29" s="363">
        <f>IF(M29="","",IF(VLOOKUP(M29,'G-7 WaterC'' Data'!$AA$4:$AB$7,2,FALSE)=0,"Spatial Data Missing ⚠",VLOOKUP(M29,'G-7 WaterC'' Data'!$AA$4:$AB$7,2,FALSE)))</f>
        <v>1</v>
      </c>
      <c r="O29" s="60" t="s">
        <v>1127</v>
      </c>
      <c r="P29" s="363">
        <f>IF(O29="","",IF(VLOOKUP(O29,'G-7 WaterC'' Data'!$AD$4:$AE$14,2,FALSE)=0,"Spatial Data Missing ⚠",VLOOKUP(O29,'G-7 WaterC'' Data'!$AD$4:$AE$14,2,FALSE)))</f>
        <v>0.75</v>
      </c>
      <c r="Q29" s="369" t="str">
        <f>IF(D29="","",VLOOKUP(D29,'G-7 WaterC'' Data'!$B$2:$G$8,6,FALSE))</f>
        <v>Same habitat required =</v>
      </c>
      <c r="R29" s="376">
        <f>IFERROR(IF(D29="","",IF(AND(Q29='G-1 All Habitats'!$X$3,U29&gt;0),V29+W29,IF(AND(Q29='G-1 All Habitats'!$X$3,T29&gt;0),V29+W29,IF(AND(Q29='G-1 All Habitats'!$X$3,AD29&gt;0),"Any Loss Unacceptable ⚠",IF(AND(Q29='G-1 All Habitats'!$X$3,AE29&gt;0),"Any Loss Unacceptable ⚠", E29*G29*I29*L29*N29*P29 ))))),"Check Data ▲")</f>
        <v>5.2433357725337963E-2</v>
      </c>
      <c r="S29" s="32"/>
      <c r="T29" s="114">
        <v>1.5198074702996512E-2</v>
      </c>
      <c r="U29" s="125">
        <v>0</v>
      </c>
      <c r="V29" s="374">
        <f t="shared" si="0"/>
        <v>5.2433357725337963E-2</v>
      </c>
      <c r="W29" s="374">
        <f t="shared" si="1"/>
        <v>0</v>
      </c>
      <c r="X29" s="374">
        <f t="shared" si="2"/>
        <v>0</v>
      </c>
      <c r="Y29" s="670">
        <f t="shared" si="3"/>
        <v>0</v>
      </c>
      <c r="Z29" s="706"/>
      <c r="AA29" s="704"/>
      <c r="AB29" s="120"/>
      <c r="AC29" s="120" t="s">
        <v>2021</v>
      </c>
      <c r="AD29" s="57" t="str">
        <f>IF(Q29="","",IF(Q29='G-1 All Habitats'!$X$3,E29-T29-U29,"None"))</f>
        <v>None</v>
      </c>
      <c r="AE29" s="58" t="str">
        <f>IF(Q29="","", IF(Q29='G-1 All Habitats'!$X$3, AD29*G29*I29*L29*N29*P29,"None"))</f>
        <v>None</v>
      </c>
      <c r="AH29" s="30">
        <f t="shared" si="4"/>
        <v>0</v>
      </c>
      <c r="AI29" s="124" t="b">
        <f t="shared" si="5"/>
        <v>1</v>
      </c>
      <c r="AJ29" s="124" t="b">
        <f t="shared" si="6"/>
        <v>0</v>
      </c>
      <c r="AL29" s="124">
        <v>20</v>
      </c>
      <c r="AN29" s="124" t="str">
        <f t="array" ref="AN29">IFERROR(INDEX($AL$10:$AL$258, MATCH(0, IF(TRUE=$AI$10:$AI$258, COUNTIF($AN$9:$AN28, $AL$10:$AL$258), ""), 0)),"")</f>
        <v/>
      </c>
      <c r="AO29" s="124">
        <f t="array" ref="AO29">IFERROR(INDEX($AL$10:$AL$258, MATCH(0, IF(TRUE=$AJ$10:$AJ$258, COUNTIF($AO$9:$AO28, $AL$10:$AL$258), ""), 0)),"")</f>
        <v>24</v>
      </c>
      <c r="AQ29" s="30" t="str">
        <f>IFERROR(INDEX('G-7 WaterC'' Data'!$AZ$3:$AZ$7,MATCH(D29,'G-7 WaterC'' Data'!$AY$3:$AY$7,0)),"")</f>
        <v>Rivercond1</v>
      </c>
      <c r="AR29" s="30" t="str">
        <f>IFERROR(INDEX('G-7 WaterC'' Data'!AZ29:AZ33,MATCH(D29,'G-7 WaterC'' Data'!$AY$10:$AY$14,0)),"")</f>
        <v/>
      </c>
    </row>
    <row r="30" spans="3:44" ht="28.5" x14ac:dyDescent="0.2">
      <c r="C30" s="110">
        <v>21</v>
      </c>
      <c r="D30" s="337" t="s">
        <v>198</v>
      </c>
      <c r="E30" s="139">
        <v>9.7181412443250598E-2</v>
      </c>
      <c r="F30" s="362" t="str">
        <f>IF(D30="","",VLOOKUP(D30,'G-7 WaterC'' Data'!$B$2:$G$8,2,FALSE))</f>
        <v>Medium</v>
      </c>
      <c r="G30" s="363">
        <f>IFERROR(VLOOKUP(F30,'G-7 WaterC'' Data'!$C$4:$D$8,2,FALSE),"")</f>
        <v>4</v>
      </c>
      <c r="H30" s="114" t="s">
        <v>329</v>
      </c>
      <c r="I30" s="363">
        <f>IFERROR(INDEX('G-7 WaterC'' Data'!$H$4:$L$8,MATCH(D30,'G-7 WaterC'' Data'!$B$4:$B$8,0),MATCH(H30,'G-7 WaterC'' Data'!$H$3:$L$3,0)),"")</f>
        <v>1</v>
      </c>
      <c r="J30" s="320" t="s">
        <v>1037</v>
      </c>
      <c r="K30" s="398" t="str">
        <f>IF(J30="","",IF(VLOOKUP(J30,'G-7 WaterC'' Data'!$AK$4:$AM$6,2,FALSE)=0,"Spatial Data Missing ⚠",VLOOKUP(J30,'G-7 WaterC'' Data'!$AK$4:$AM$6,2,FALSE)))</f>
        <v>Low Strategic Significance</v>
      </c>
      <c r="L30" s="368">
        <f>IF(J30="","",IF(VLOOKUP(J30,'G-7 WaterC'' Data'!$AK$4:$AM$9,3,FALSE)=0,"Spatial Data Missing ⚠",VLOOKUP(J30,'G-7 WaterC'' Data'!$AK$4:$AM$6,3,FALSE)))</f>
        <v>1</v>
      </c>
      <c r="M30" s="54" t="s">
        <v>1126</v>
      </c>
      <c r="N30" s="363">
        <f>IF(M30="","",IF(VLOOKUP(M30,'G-7 WaterC'' Data'!$AA$4:$AB$7,2,FALSE)=0,"Spatial Data Missing ⚠",VLOOKUP(M30,'G-7 WaterC'' Data'!$AA$4:$AB$7,2,FALSE)))</f>
        <v>1</v>
      </c>
      <c r="O30" s="60" t="s">
        <v>1127</v>
      </c>
      <c r="P30" s="363">
        <f>IF(O30="","",IF(VLOOKUP(O30,'G-7 WaterC'' Data'!$AD$4:$AE$14,2,FALSE)=0,"Spatial Data Missing ⚠",VLOOKUP(O30,'G-7 WaterC'' Data'!$AD$4:$AE$14,2,FALSE)))</f>
        <v>0.75</v>
      </c>
      <c r="Q30" s="369" t="str">
        <f>IF(D30="","",VLOOKUP(D30,'G-7 WaterC'' Data'!$B$2:$G$8,6,FALSE))</f>
        <v>Same habitat required =</v>
      </c>
      <c r="R30" s="376">
        <f>IFERROR(IF(D30="","",IF(AND(Q30='G-1 All Habitats'!$X$3,U30&gt;0),V30+W30,IF(AND(Q30='G-1 All Habitats'!$X$3,T30&gt;0),V30+W30,IF(AND(Q30='G-1 All Habitats'!$X$3,AD30&gt;0),"Any Loss Unacceptable ⚠",IF(AND(Q30='G-1 All Habitats'!$X$3,AE30&gt;0),"Any Loss Unacceptable ⚠", E30*G30*I30*L30*N30*P30 ))))),"Check Data ▲")</f>
        <v>0.29154423732975177</v>
      </c>
      <c r="S30" s="32"/>
      <c r="T30" s="114">
        <v>9.7181412443250598E-2</v>
      </c>
      <c r="U30" s="125">
        <v>0</v>
      </c>
      <c r="V30" s="374">
        <f t="shared" si="0"/>
        <v>0.29154423732975177</v>
      </c>
      <c r="W30" s="374">
        <f t="shared" si="1"/>
        <v>0</v>
      </c>
      <c r="X30" s="374">
        <f t="shared" si="2"/>
        <v>0</v>
      </c>
      <c r="Y30" s="670">
        <f t="shared" si="3"/>
        <v>0</v>
      </c>
      <c r="Z30" s="706"/>
      <c r="AA30" s="704"/>
      <c r="AB30" s="120"/>
      <c r="AC30" s="120" t="s">
        <v>2022</v>
      </c>
      <c r="AD30" s="57" t="str">
        <f>IF(Q30="","",IF(Q30='G-1 All Habitats'!$X$3,E30-T30-U30,"None"))</f>
        <v>None</v>
      </c>
      <c r="AE30" s="58" t="str">
        <f>IF(Q30="","", IF(Q30='G-1 All Habitats'!$X$3, AD30*G30*I30*L30*N30*P30,"None"))</f>
        <v>None</v>
      </c>
      <c r="AH30" s="30">
        <f t="shared" si="4"/>
        <v>0</v>
      </c>
      <c r="AI30" s="124" t="b">
        <f t="shared" si="5"/>
        <v>1</v>
      </c>
      <c r="AJ30" s="124" t="b">
        <f t="shared" si="6"/>
        <v>0</v>
      </c>
      <c r="AL30" s="124">
        <v>21</v>
      </c>
      <c r="AN30" s="124" t="str">
        <f t="array" ref="AN30">IFERROR(INDEX($AL$10:$AL$258, MATCH(0, IF(TRUE=$AI$10:$AI$258, COUNTIF($AN$9:$AN29, $AL$10:$AL$258), ""), 0)),"")</f>
        <v/>
      </c>
      <c r="AO30" s="124">
        <f t="array" ref="AO30">IFERROR(INDEX($AL$10:$AL$258, MATCH(0, IF(TRUE=$AJ$10:$AJ$258, COUNTIF($AO$9:$AO29, $AL$10:$AL$258), ""), 0)),"")</f>
        <v>25</v>
      </c>
      <c r="AQ30" s="30" t="str">
        <f>IFERROR(INDEX('G-7 WaterC'' Data'!$AZ$3:$AZ$7,MATCH(D30,'G-7 WaterC'' Data'!$AY$3:$AY$7,0)),"")</f>
        <v>Rivercond1</v>
      </c>
      <c r="AR30" s="30" t="str">
        <f>IFERROR(INDEX('G-7 WaterC'' Data'!AZ30:AZ34,MATCH(D30,'G-7 WaterC'' Data'!$AY$10:$AY$14,0)),"")</f>
        <v/>
      </c>
    </row>
    <row r="31" spans="3:44" ht="28.5" x14ac:dyDescent="0.2">
      <c r="C31" s="110">
        <v>22</v>
      </c>
      <c r="D31" s="337" t="s">
        <v>198</v>
      </c>
      <c r="E31" s="139">
        <v>0.35608632040832972</v>
      </c>
      <c r="F31" s="362" t="str">
        <f>IF(D31="","",VLOOKUP(D31,'G-7 WaterC'' Data'!$B$2:$G$8,2,FALSE))</f>
        <v>Medium</v>
      </c>
      <c r="G31" s="363">
        <f>IFERROR(VLOOKUP(F31,'G-7 WaterC'' Data'!$C$4:$D$8,2,FALSE),"")</f>
        <v>4</v>
      </c>
      <c r="H31" s="114" t="s">
        <v>329</v>
      </c>
      <c r="I31" s="363">
        <f>IFERROR(INDEX('G-7 WaterC'' Data'!$H$4:$L$8,MATCH(D31,'G-7 WaterC'' Data'!$B$4:$B$8,0),MATCH(H31,'G-7 WaterC'' Data'!$H$3:$L$3,0)),"")</f>
        <v>1</v>
      </c>
      <c r="J31" s="320" t="s">
        <v>1029</v>
      </c>
      <c r="K31" s="398" t="str">
        <f>IF(J31="","",IF(VLOOKUP(J31,'G-7 WaterC'' Data'!$AK$4:$AM$6,2,FALSE)=0,"Spatial Data Missing ⚠",VLOOKUP(J31,'G-7 WaterC'' Data'!$AK$4:$AM$6,2,FALSE)))</f>
        <v xml:space="preserve">High strategic significance </v>
      </c>
      <c r="L31" s="368">
        <f>IF(J31="","",IF(VLOOKUP(J31,'G-7 WaterC'' Data'!$AK$4:$AM$9,3,FALSE)=0,"Spatial Data Missing ⚠",VLOOKUP(J31,'G-7 WaterC'' Data'!$AK$4:$AM$6,3,FALSE)))</f>
        <v>1.1499999999999999</v>
      </c>
      <c r="M31" s="54" t="s">
        <v>1126</v>
      </c>
      <c r="N31" s="363">
        <f>IF(M31="","",IF(VLOOKUP(M31,'G-7 WaterC'' Data'!$AA$4:$AB$7,2,FALSE)=0,"Spatial Data Missing ⚠",VLOOKUP(M31,'G-7 WaterC'' Data'!$AA$4:$AB$7,2,FALSE)))</f>
        <v>1</v>
      </c>
      <c r="O31" s="60" t="s">
        <v>1127</v>
      </c>
      <c r="P31" s="363">
        <f>IF(O31="","",IF(VLOOKUP(O31,'G-7 WaterC'' Data'!$AD$4:$AE$14,2,FALSE)=0,"Spatial Data Missing ⚠",VLOOKUP(O31,'G-7 WaterC'' Data'!$AD$4:$AE$14,2,FALSE)))</f>
        <v>0.75</v>
      </c>
      <c r="Q31" s="369" t="str">
        <f>IF(D31="","",VLOOKUP(D31,'G-7 WaterC'' Data'!$B$2:$G$8,6,FALSE))</f>
        <v>Same habitat required =</v>
      </c>
      <c r="R31" s="376">
        <f>IFERROR(IF(D31="","",IF(AND(Q31='G-1 All Habitats'!$X$3,U31&gt;0),V31+W31,IF(AND(Q31='G-1 All Habitats'!$X$3,T31&gt;0),V31+W31,IF(AND(Q31='G-1 All Habitats'!$X$3,AD31&gt;0),"Any Loss Unacceptable ⚠",IF(AND(Q31='G-1 All Habitats'!$X$3,AE31&gt;0),"Any Loss Unacceptable ⚠", E31*G31*I31*L31*N31*P31 ))))),"Check Data ▲")</f>
        <v>1.2284978054087374</v>
      </c>
      <c r="S31" s="32"/>
      <c r="T31" s="114">
        <v>0</v>
      </c>
      <c r="U31" s="125">
        <v>0.35608632040832972</v>
      </c>
      <c r="V31" s="374">
        <f t="shared" si="0"/>
        <v>0</v>
      </c>
      <c r="W31" s="374">
        <f t="shared" si="1"/>
        <v>1.2284978054087374</v>
      </c>
      <c r="X31" s="374">
        <f t="shared" si="2"/>
        <v>0</v>
      </c>
      <c r="Y31" s="670">
        <f t="shared" si="3"/>
        <v>0</v>
      </c>
      <c r="Z31" s="706"/>
      <c r="AA31" s="704"/>
      <c r="AB31" s="120"/>
      <c r="AC31" s="120" t="s">
        <v>2023</v>
      </c>
      <c r="AD31" s="57" t="str">
        <f>IF(Q31="","",IF(Q31='G-1 All Habitats'!$X$3,E31-T31-U31,"None"))</f>
        <v>None</v>
      </c>
      <c r="AE31" s="58" t="str">
        <f>IF(Q31="","", IF(Q31='G-1 All Habitats'!$X$3, AD31*G31*I31*L31*N31*P31,"None"))</f>
        <v>None</v>
      </c>
      <c r="AH31" s="30">
        <f t="shared" si="4"/>
        <v>0</v>
      </c>
      <c r="AI31" s="124" t="b">
        <f t="shared" si="5"/>
        <v>0</v>
      </c>
      <c r="AJ31" s="124" t="b">
        <f t="shared" si="6"/>
        <v>1</v>
      </c>
      <c r="AL31" s="124">
        <v>22</v>
      </c>
      <c r="AN31" s="124" t="str">
        <f t="array" ref="AN31">IFERROR(INDEX($AL$10:$AL$258, MATCH(0, IF(TRUE=$AI$10:$AI$258, COUNTIF($AN$9:$AN30, $AL$10:$AL$258), ""), 0)),"")</f>
        <v/>
      </c>
      <c r="AO31" s="124">
        <f t="array" ref="AO31">IFERROR(INDEX($AL$10:$AL$258, MATCH(0, IF(TRUE=$AJ$10:$AJ$258, COUNTIF($AO$9:$AO30, $AL$10:$AL$258), ""), 0)),"")</f>
        <v>26</v>
      </c>
      <c r="AQ31" s="30" t="str">
        <f>IFERROR(INDEX('G-7 WaterC'' Data'!$AZ$3:$AZ$7,MATCH(D31,'G-7 WaterC'' Data'!$AY$3:$AY$7,0)),"")</f>
        <v>Rivercond1</v>
      </c>
      <c r="AR31" s="30" t="str">
        <f>IFERROR(INDEX('G-7 WaterC'' Data'!AZ31:AZ35,MATCH(D31,'G-7 WaterC'' Data'!$AY$10:$AY$14,0)),"")</f>
        <v/>
      </c>
    </row>
    <row r="32" spans="3:44" ht="28.5" x14ac:dyDescent="0.2">
      <c r="C32" s="110">
        <v>23</v>
      </c>
      <c r="D32" s="337" t="s">
        <v>198</v>
      </c>
      <c r="E32" s="139">
        <v>0.13953478767422964</v>
      </c>
      <c r="F32" s="362" t="str">
        <f>IF(D32="","",VLOOKUP(D32,'G-7 WaterC'' Data'!$B$2:$G$8,2,FALSE))</f>
        <v>Medium</v>
      </c>
      <c r="G32" s="363">
        <f>IFERROR(VLOOKUP(F32,'G-7 WaterC'' Data'!$C$4:$D$8,2,FALSE),"")</f>
        <v>4</v>
      </c>
      <c r="H32" s="114" t="s">
        <v>329</v>
      </c>
      <c r="I32" s="363">
        <f>IFERROR(INDEX('G-7 WaterC'' Data'!$H$4:$L$8,MATCH(D32,'G-7 WaterC'' Data'!$B$4:$B$8,0),MATCH(H32,'G-7 WaterC'' Data'!$H$3:$L$3,0)),"")</f>
        <v>1</v>
      </c>
      <c r="J32" s="320" t="s">
        <v>1037</v>
      </c>
      <c r="K32" s="398" t="str">
        <f>IF(J32="","",IF(VLOOKUP(J32,'G-7 WaterC'' Data'!$AK$4:$AM$6,2,FALSE)=0,"Spatial Data Missing ⚠",VLOOKUP(J32,'G-7 WaterC'' Data'!$AK$4:$AM$6,2,FALSE)))</f>
        <v>Low Strategic Significance</v>
      </c>
      <c r="L32" s="368">
        <f>IF(J32="","",IF(VLOOKUP(J32,'G-7 WaterC'' Data'!$AK$4:$AM$9,3,FALSE)=0,"Spatial Data Missing ⚠",VLOOKUP(J32,'G-7 WaterC'' Data'!$AK$4:$AM$6,3,FALSE)))</f>
        <v>1</v>
      </c>
      <c r="M32" s="54" t="s">
        <v>1126</v>
      </c>
      <c r="N32" s="363">
        <f>IF(M32="","",IF(VLOOKUP(M32,'G-7 WaterC'' Data'!$AA$4:$AB$7,2,FALSE)=0,"Spatial Data Missing ⚠",VLOOKUP(M32,'G-7 WaterC'' Data'!$AA$4:$AB$7,2,FALSE)))</f>
        <v>1</v>
      </c>
      <c r="O32" s="60" t="s">
        <v>1127</v>
      </c>
      <c r="P32" s="363">
        <f>IF(O32="","",IF(VLOOKUP(O32,'G-7 WaterC'' Data'!$AD$4:$AE$14,2,FALSE)=0,"Spatial Data Missing ⚠",VLOOKUP(O32,'G-7 WaterC'' Data'!$AD$4:$AE$14,2,FALSE)))</f>
        <v>0.75</v>
      </c>
      <c r="Q32" s="369" t="str">
        <f>IF(D32="","",VLOOKUP(D32,'G-7 WaterC'' Data'!$B$2:$G$8,6,FALSE))</f>
        <v>Same habitat required =</v>
      </c>
      <c r="R32" s="376">
        <f>IFERROR(IF(D32="","",IF(AND(Q32='G-1 All Habitats'!$X$3,U32&gt;0),V32+W32,IF(AND(Q32='G-1 All Habitats'!$X$3,T32&gt;0),V32+W32,IF(AND(Q32='G-1 All Habitats'!$X$3,AD32&gt;0),"Any Loss Unacceptable ⚠",IF(AND(Q32='G-1 All Habitats'!$X$3,AE32&gt;0),"Any Loss Unacceptable ⚠", E32*G32*I32*L32*N32*P32 ))))),"Check Data ▲")</f>
        <v>0.41860436302268889</v>
      </c>
      <c r="S32" s="32"/>
      <c r="T32" s="114">
        <v>0</v>
      </c>
      <c r="U32" s="125">
        <v>0.13953478767422964</v>
      </c>
      <c r="V32" s="374">
        <f t="shared" si="0"/>
        <v>0</v>
      </c>
      <c r="W32" s="374">
        <f t="shared" si="1"/>
        <v>0.41860436302268889</v>
      </c>
      <c r="X32" s="374">
        <f t="shared" si="2"/>
        <v>0</v>
      </c>
      <c r="Y32" s="670">
        <f t="shared" si="3"/>
        <v>0</v>
      </c>
      <c r="Z32" s="706"/>
      <c r="AA32" s="704"/>
      <c r="AB32" s="120"/>
      <c r="AC32" s="120" t="s">
        <v>2024</v>
      </c>
      <c r="AD32" s="57" t="str">
        <f>IF(Q32="","",IF(Q32='G-1 All Habitats'!$X$3,E32-T32-U32,"None"))</f>
        <v>None</v>
      </c>
      <c r="AE32" s="58" t="str">
        <f>IF(Q32="","", IF(Q32='G-1 All Habitats'!$X$3, AD32*G32*I32*L32*N32*P32,"None"))</f>
        <v>None</v>
      </c>
      <c r="AH32" s="30">
        <f t="shared" si="4"/>
        <v>0</v>
      </c>
      <c r="AI32" s="124" t="b">
        <f t="shared" si="5"/>
        <v>0</v>
      </c>
      <c r="AJ32" s="124" t="b">
        <f t="shared" si="6"/>
        <v>1</v>
      </c>
      <c r="AL32" s="124">
        <v>23</v>
      </c>
      <c r="AN32" s="124" t="str">
        <f t="array" ref="AN32">IFERROR(INDEX($AL$10:$AL$258, MATCH(0, IF(TRUE=$AI$10:$AI$258, COUNTIF($AN$9:$AN31, $AL$10:$AL$258), ""), 0)),"")</f>
        <v/>
      </c>
      <c r="AO32" s="124">
        <f t="array" ref="AO32">IFERROR(INDEX($AL$10:$AL$258, MATCH(0, IF(TRUE=$AJ$10:$AJ$258, COUNTIF($AO$9:$AO31, $AL$10:$AL$258), ""), 0)),"")</f>
        <v>27</v>
      </c>
      <c r="AQ32" s="30" t="str">
        <f>IFERROR(INDEX('G-7 WaterC'' Data'!$AZ$3:$AZ$7,MATCH(D32,'G-7 WaterC'' Data'!$AY$3:$AY$7,0)),"")</f>
        <v>Rivercond1</v>
      </c>
      <c r="AR32" s="30" t="str">
        <f>IFERROR(INDEX('G-7 WaterC'' Data'!AZ32:AZ36,MATCH(D32,'G-7 WaterC'' Data'!$AY$10:$AY$14,0)),"")</f>
        <v/>
      </c>
    </row>
    <row r="33" spans="3:44" ht="28.5" x14ac:dyDescent="0.2">
      <c r="C33" s="110">
        <v>24</v>
      </c>
      <c r="D33" s="338" t="s">
        <v>198</v>
      </c>
      <c r="E33" s="139">
        <v>0.56828722188651559</v>
      </c>
      <c r="F33" s="362" t="str">
        <f>IF(D33="","",VLOOKUP(D33,'G-7 WaterC'' Data'!$B$2:$G$8,2,FALSE))</f>
        <v>Medium</v>
      </c>
      <c r="G33" s="363">
        <f>IFERROR(VLOOKUP(F33,'G-7 WaterC'' Data'!$C$4:$D$8,2,FALSE),"")</f>
        <v>4</v>
      </c>
      <c r="H33" s="114" t="s">
        <v>329</v>
      </c>
      <c r="I33" s="363">
        <f>IFERROR(INDEX('G-7 WaterC'' Data'!$H$4:$L$8,MATCH(D33,'G-7 WaterC'' Data'!$B$4:$B$8,0),MATCH(H33,'G-7 WaterC'' Data'!$H$3:$L$3,0)),"")</f>
        <v>1</v>
      </c>
      <c r="J33" s="320" t="s">
        <v>1029</v>
      </c>
      <c r="K33" s="398" t="str">
        <f>IF(J33="","",IF(VLOOKUP(J33,'G-7 WaterC'' Data'!$AK$4:$AM$6,2,FALSE)=0,"Spatial Data Missing ⚠",VLOOKUP(J33,'G-7 WaterC'' Data'!$AK$4:$AM$6,2,FALSE)))</f>
        <v xml:space="preserve">High strategic significance </v>
      </c>
      <c r="L33" s="368">
        <f>IF(J33="","",IF(VLOOKUP(J33,'G-7 WaterC'' Data'!$AK$4:$AM$9,3,FALSE)=0,"Spatial Data Missing ⚠",VLOOKUP(J33,'G-7 WaterC'' Data'!$AK$4:$AM$6,3,FALSE)))</f>
        <v>1.1499999999999999</v>
      </c>
      <c r="M33" s="54" t="s">
        <v>1126</v>
      </c>
      <c r="N33" s="363">
        <f>IF(M33="","",IF(VLOOKUP(M33,'G-7 WaterC'' Data'!$AA$4:$AB$7,2,FALSE)=0,"Spatial Data Missing ⚠",VLOOKUP(M33,'G-7 WaterC'' Data'!$AA$4:$AB$7,2,FALSE)))</f>
        <v>1</v>
      </c>
      <c r="O33" s="60" t="s">
        <v>1127</v>
      </c>
      <c r="P33" s="363">
        <f>IF(O33="","",IF(VLOOKUP(O33,'G-7 WaterC'' Data'!$AD$4:$AE$14,2,FALSE)=0,"Spatial Data Missing ⚠",VLOOKUP(O33,'G-7 WaterC'' Data'!$AD$4:$AE$14,2,FALSE)))</f>
        <v>0.75</v>
      </c>
      <c r="Q33" s="369" t="str">
        <f>IF(D33="","",VLOOKUP(D33,'G-7 WaterC'' Data'!$B$2:$G$8,6,FALSE))</f>
        <v>Same habitat required =</v>
      </c>
      <c r="R33" s="376">
        <f>IFERROR(IF(D33="","",IF(AND(Q33='G-1 All Habitats'!$X$3,U33&gt;0),V33+W33,IF(AND(Q33='G-1 All Habitats'!$X$3,T33&gt;0),V33+W33,IF(AND(Q33='G-1 All Habitats'!$X$3,AD33&gt;0),"Any Loss Unacceptable ⚠",IF(AND(Q33='G-1 All Habitats'!$X$3,AE33&gt;0),"Any Loss Unacceptable ⚠", E33*G33*I33*L33*N33*P33 ))))),"Check Data ▲")</f>
        <v>1.9605909155084786</v>
      </c>
      <c r="S33" s="32"/>
      <c r="T33" s="114">
        <v>0</v>
      </c>
      <c r="U33" s="125">
        <v>0.56828722188651559</v>
      </c>
      <c r="V33" s="374">
        <f t="shared" si="0"/>
        <v>0</v>
      </c>
      <c r="W33" s="374">
        <f t="shared" si="1"/>
        <v>1.9605909155084786</v>
      </c>
      <c r="X33" s="374">
        <f t="shared" si="2"/>
        <v>0</v>
      </c>
      <c r="Y33" s="670">
        <f t="shared" si="3"/>
        <v>0</v>
      </c>
      <c r="Z33" s="706"/>
      <c r="AA33" s="704"/>
      <c r="AB33" s="120"/>
      <c r="AC33" s="120" t="s">
        <v>2025</v>
      </c>
      <c r="AD33" s="57" t="str">
        <f>IF(Q33="","",IF(Q33='G-1 All Habitats'!$X$3,E33-T33-U33,"None"))</f>
        <v>None</v>
      </c>
      <c r="AE33" s="58" t="str">
        <f>IF(Q33="","", IF(Q33='G-1 All Habitats'!$X$3, AD33*G33*I33*L33*N33*P33,"None"))</f>
        <v>None</v>
      </c>
      <c r="AH33" s="30">
        <f t="shared" si="4"/>
        <v>0</v>
      </c>
      <c r="AI33" s="124" t="b">
        <f t="shared" si="5"/>
        <v>0</v>
      </c>
      <c r="AJ33" s="124" t="b">
        <f t="shared" si="6"/>
        <v>1</v>
      </c>
      <c r="AL33" s="124">
        <v>24</v>
      </c>
      <c r="AN33" s="124" t="str">
        <f t="array" ref="AN33">IFERROR(INDEX($AL$10:$AL$258, MATCH(0, IF(TRUE=$AI$10:$AI$258, COUNTIF($AN$9:$AN32, $AL$10:$AL$258), ""), 0)),"")</f>
        <v/>
      </c>
      <c r="AO33" s="124">
        <f t="array" ref="AO33">IFERROR(INDEX($AL$10:$AL$258, MATCH(0, IF(TRUE=$AJ$10:$AJ$258, COUNTIF($AO$9:$AO32, $AL$10:$AL$258), ""), 0)),"")</f>
        <v>28</v>
      </c>
      <c r="AQ33" s="30" t="str">
        <f>IFERROR(INDEX('G-7 WaterC'' Data'!$AZ$3:$AZ$7,MATCH(D33,'G-7 WaterC'' Data'!$AY$3:$AY$7,0)),"")</f>
        <v>Rivercond1</v>
      </c>
      <c r="AR33" s="30" t="str">
        <f>IFERROR(INDEX('G-7 WaterC'' Data'!AZ33:AZ37,MATCH(D33,'G-7 WaterC'' Data'!$AY$10:$AY$14,0)),"")</f>
        <v/>
      </c>
    </row>
    <row r="34" spans="3:44" ht="28.5" x14ac:dyDescent="0.2">
      <c r="C34" s="110">
        <v>25</v>
      </c>
      <c r="D34" s="338" t="s">
        <v>198</v>
      </c>
      <c r="E34" s="139">
        <v>9.5102960030260142E-2</v>
      </c>
      <c r="F34" s="362" t="str">
        <f>IF(D34="","",VLOOKUP(D34,'G-7 WaterC'' Data'!$B$2:$G$8,2,FALSE))</f>
        <v>Medium</v>
      </c>
      <c r="G34" s="363">
        <f>IFERROR(VLOOKUP(F34,'G-7 WaterC'' Data'!$C$4:$D$8,2,FALSE),"")</f>
        <v>4</v>
      </c>
      <c r="H34" s="114" t="s">
        <v>329</v>
      </c>
      <c r="I34" s="363">
        <f>IFERROR(INDEX('G-7 WaterC'' Data'!$H$4:$L$8,MATCH(D34,'G-7 WaterC'' Data'!$B$4:$B$8,0),MATCH(H34,'G-7 WaterC'' Data'!$H$3:$L$3,0)),"")</f>
        <v>1</v>
      </c>
      <c r="J34" s="320" t="s">
        <v>1037</v>
      </c>
      <c r="K34" s="398" t="str">
        <f>IF(J34="","",IF(VLOOKUP(J34,'G-7 WaterC'' Data'!$AK$4:$AM$6,2,FALSE)=0,"Spatial Data Missing ⚠",VLOOKUP(J34,'G-7 WaterC'' Data'!$AK$4:$AM$6,2,FALSE)))</f>
        <v>Low Strategic Significance</v>
      </c>
      <c r="L34" s="368">
        <f>IF(J34="","",IF(VLOOKUP(J34,'G-7 WaterC'' Data'!$AK$4:$AM$9,3,FALSE)=0,"Spatial Data Missing ⚠",VLOOKUP(J34,'G-7 WaterC'' Data'!$AK$4:$AM$6,3,FALSE)))</f>
        <v>1</v>
      </c>
      <c r="M34" s="54" t="s">
        <v>1126</v>
      </c>
      <c r="N34" s="363">
        <f>IF(M34="","",IF(VLOOKUP(M34,'G-7 WaterC'' Data'!$AA$4:$AB$7,2,FALSE)=0,"Spatial Data Missing ⚠",VLOOKUP(M34,'G-7 WaterC'' Data'!$AA$4:$AB$7,2,FALSE)))</f>
        <v>1</v>
      </c>
      <c r="O34" s="60" t="s">
        <v>1127</v>
      </c>
      <c r="P34" s="363">
        <f>IF(O34="","",IF(VLOOKUP(O34,'G-7 WaterC'' Data'!$AD$4:$AE$14,2,FALSE)=0,"Spatial Data Missing ⚠",VLOOKUP(O34,'G-7 WaterC'' Data'!$AD$4:$AE$14,2,FALSE)))</f>
        <v>0.75</v>
      </c>
      <c r="Q34" s="369" t="str">
        <f>IF(D34="","",VLOOKUP(D34,'G-7 WaterC'' Data'!$B$2:$G$8,6,FALSE))</f>
        <v>Same habitat required =</v>
      </c>
      <c r="R34" s="376">
        <f>IFERROR(IF(D34="","",IF(AND(Q34='G-1 All Habitats'!$X$3,U34&gt;0),V34+W34,IF(AND(Q34='G-1 All Habitats'!$X$3,T34&gt;0),V34+W34,IF(AND(Q34='G-1 All Habitats'!$X$3,AD34&gt;0),"Any Loss Unacceptable ⚠",IF(AND(Q34='G-1 All Habitats'!$X$3,AE34&gt;0),"Any Loss Unacceptable ⚠", E34*G34*I34*L34*N34*P34 ))))),"Check Data ▲")</f>
        <v>0.28530888009078043</v>
      </c>
      <c r="S34" s="32"/>
      <c r="T34" s="114">
        <v>0</v>
      </c>
      <c r="U34" s="125">
        <v>9.5102960030260142E-2</v>
      </c>
      <c r="V34" s="374">
        <f t="shared" si="0"/>
        <v>0</v>
      </c>
      <c r="W34" s="374">
        <f t="shared" si="1"/>
        <v>0.28530888009078043</v>
      </c>
      <c r="X34" s="374">
        <f t="shared" si="2"/>
        <v>0</v>
      </c>
      <c r="Y34" s="670">
        <f t="shared" si="3"/>
        <v>0</v>
      </c>
      <c r="Z34" s="706"/>
      <c r="AA34" s="704"/>
      <c r="AB34" s="120"/>
      <c r="AC34" s="120" t="s">
        <v>2026</v>
      </c>
      <c r="AD34" s="57" t="str">
        <f>IF(Q34="","",IF(Q34='G-1 All Habitats'!$X$3,E34-T34-U34,"None"))</f>
        <v>None</v>
      </c>
      <c r="AE34" s="58" t="str">
        <f>IF(Q34="","", IF(Q34='G-1 All Habitats'!$X$3, AD34*G34*I34*L34*N34*P34,"None"))</f>
        <v>None</v>
      </c>
      <c r="AH34" s="30">
        <f t="shared" si="4"/>
        <v>0</v>
      </c>
      <c r="AI34" s="124" t="b">
        <f t="shared" si="5"/>
        <v>0</v>
      </c>
      <c r="AJ34" s="124" t="b">
        <f t="shared" si="6"/>
        <v>1</v>
      </c>
      <c r="AL34" s="124">
        <v>25</v>
      </c>
      <c r="AN34" s="124" t="str">
        <f t="array" ref="AN34">IFERROR(INDEX($AL$10:$AL$258, MATCH(0, IF(TRUE=$AI$10:$AI$258, COUNTIF($AN$9:$AN33, $AL$10:$AL$258), ""), 0)),"")</f>
        <v/>
      </c>
      <c r="AO34" s="124">
        <f t="array" ref="AO34">IFERROR(INDEX($AL$10:$AL$258, MATCH(0, IF(TRUE=$AJ$10:$AJ$258, COUNTIF($AO$9:$AO33, $AL$10:$AL$258), ""), 0)),"")</f>
        <v>29</v>
      </c>
      <c r="AQ34" s="30" t="str">
        <f>IFERROR(INDEX('G-7 WaterC'' Data'!$AZ$3:$AZ$7,MATCH(D34,'G-7 WaterC'' Data'!$AY$3:$AY$7,0)),"")</f>
        <v>Rivercond1</v>
      </c>
      <c r="AR34" s="30" t="str">
        <f>IFERROR(INDEX('G-7 WaterC'' Data'!AZ34:AZ38,MATCH(D34,'G-7 WaterC'' Data'!$AY$10:$AY$14,0)),"")</f>
        <v/>
      </c>
    </row>
    <row r="35" spans="3:44" ht="28.5" x14ac:dyDescent="0.2">
      <c r="C35" s="110">
        <v>26</v>
      </c>
      <c r="D35" s="338" t="s">
        <v>198</v>
      </c>
      <c r="E35" s="139">
        <v>0.10865862462337431</v>
      </c>
      <c r="F35" s="362" t="str">
        <f>IF(D35="","",VLOOKUP(D35,'G-7 WaterC'' Data'!$B$2:$G$8,2,FALSE))</f>
        <v>Medium</v>
      </c>
      <c r="G35" s="363">
        <f>IFERROR(VLOOKUP(F35,'G-7 WaterC'' Data'!$C$4:$D$8,2,FALSE),"")</f>
        <v>4</v>
      </c>
      <c r="H35" s="114" t="s">
        <v>329</v>
      </c>
      <c r="I35" s="363">
        <f>IFERROR(INDEX('G-7 WaterC'' Data'!$H$4:$L$8,MATCH(D35,'G-7 WaterC'' Data'!$B$4:$B$8,0),MATCH(H35,'G-7 WaterC'' Data'!$H$3:$L$3,0)),"")</f>
        <v>1</v>
      </c>
      <c r="J35" s="320" t="s">
        <v>1037</v>
      </c>
      <c r="K35" s="398" t="str">
        <f>IF(J35="","",IF(VLOOKUP(J35,'G-7 WaterC'' Data'!$AK$4:$AM$6,2,FALSE)=0,"Spatial Data Missing ⚠",VLOOKUP(J35,'G-7 WaterC'' Data'!$AK$4:$AM$6,2,FALSE)))</f>
        <v>Low Strategic Significance</v>
      </c>
      <c r="L35" s="368">
        <f>IF(J35="","",IF(VLOOKUP(J35,'G-7 WaterC'' Data'!$AK$4:$AM$9,3,FALSE)=0,"Spatial Data Missing ⚠",VLOOKUP(J35,'G-7 WaterC'' Data'!$AK$4:$AM$6,3,FALSE)))</f>
        <v>1</v>
      </c>
      <c r="M35" s="54" t="s">
        <v>1126</v>
      </c>
      <c r="N35" s="363">
        <f>IF(M35="","",IF(VLOOKUP(M35,'G-7 WaterC'' Data'!$AA$4:$AB$7,2,FALSE)=0,"Spatial Data Missing ⚠",VLOOKUP(M35,'G-7 WaterC'' Data'!$AA$4:$AB$7,2,FALSE)))</f>
        <v>1</v>
      </c>
      <c r="O35" s="60" t="s">
        <v>1127</v>
      </c>
      <c r="P35" s="363">
        <f>IF(O35="","",IF(VLOOKUP(O35,'G-7 WaterC'' Data'!$AD$4:$AE$14,2,FALSE)=0,"Spatial Data Missing ⚠",VLOOKUP(O35,'G-7 WaterC'' Data'!$AD$4:$AE$14,2,FALSE)))</f>
        <v>0.75</v>
      </c>
      <c r="Q35" s="369" t="str">
        <f>IF(D35="","",VLOOKUP(D35,'G-7 WaterC'' Data'!$B$2:$G$8,6,FALSE))</f>
        <v>Same habitat required =</v>
      </c>
      <c r="R35" s="376">
        <f>IFERROR(IF(D35="","",IF(AND(Q35='G-1 All Habitats'!$X$3,U35&gt;0),V35+W35,IF(AND(Q35='G-1 All Habitats'!$X$3,T35&gt;0),V35+W35,IF(AND(Q35='G-1 All Habitats'!$X$3,AD35&gt;0),"Any Loss Unacceptable ⚠",IF(AND(Q35='G-1 All Habitats'!$X$3,AE35&gt;0),"Any Loss Unacceptable ⚠", E35*G35*I35*L35*N35*P35 ))))),"Check Data ▲")</f>
        <v>0.32597587387012295</v>
      </c>
      <c r="S35" s="32"/>
      <c r="T35" s="114">
        <v>0</v>
      </c>
      <c r="U35" s="125">
        <v>0.10865862462337431</v>
      </c>
      <c r="V35" s="374">
        <f t="shared" si="0"/>
        <v>0</v>
      </c>
      <c r="W35" s="374">
        <f t="shared" si="1"/>
        <v>0.32597587387012295</v>
      </c>
      <c r="X35" s="374">
        <f t="shared" si="2"/>
        <v>0</v>
      </c>
      <c r="Y35" s="670">
        <f t="shared" si="3"/>
        <v>0</v>
      </c>
      <c r="Z35" s="706"/>
      <c r="AA35" s="704"/>
      <c r="AB35" s="120"/>
      <c r="AC35" s="120" t="s">
        <v>2027</v>
      </c>
      <c r="AD35" s="57" t="str">
        <f>IF(Q35="","",IF(Q35='G-1 All Habitats'!$X$3,E35-T35-U35,"None"))</f>
        <v>None</v>
      </c>
      <c r="AE35" s="58" t="str">
        <f>IF(Q35="","", IF(Q35='G-1 All Habitats'!$X$3, AD35*G35*I35*L35*N35*P35,"None"))</f>
        <v>None</v>
      </c>
      <c r="AH35" s="30">
        <f t="shared" si="4"/>
        <v>0</v>
      </c>
      <c r="AI35" s="124" t="b">
        <f t="shared" si="5"/>
        <v>0</v>
      </c>
      <c r="AJ35" s="124" t="b">
        <f t="shared" si="6"/>
        <v>1</v>
      </c>
      <c r="AL35" s="124">
        <v>26</v>
      </c>
      <c r="AN35" s="124" t="str">
        <f t="array" ref="AN35">IFERROR(INDEX($AL$10:$AL$258, MATCH(0, IF(TRUE=$AI$10:$AI$258, COUNTIF($AN$9:$AN34, $AL$10:$AL$258), ""), 0)),"")</f>
        <v/>
      </c>
      <c r="AO35" s="124">
        <f t="array" ref="AO35">IFERROR(INDEX($AL$10:$AL$258, MATCH(0, IF(TRUE=$AJ$10:$AJ$258, COUNTIF($AO$9:$AO34, $AL$10:$AL$258), ""), 0)),"")</f>
        <v>30</v>
      </c>
      <c r="AQ35" s="30" t="str">
        <f>IFERROR(INDEX('G-7 WaterC'' Data'!$AZ$3:$AZ$7,MATCH(D35,'G-7 WaterC'' Data'!$AY$3:$AY$7,0)),"")</f>
        <v>Rivercond1</v>
      </c>
      <c r="AR35" s="30" t="str">
        <f>IFERROR(INDEX('G-7 WaterC'' Data'!AZ35:AZ39,MATCH(D35,'G-7 WaterC'' Data'!$AY$10:$AY$14,0)),"")</f>
        <v/>
      </c>
    </row>
    <row r="36" spans="3:44" ht="28.5" x14ac:dyDescent="0.2">
      <c r="C36" s="110">
        <v>27</v>
      </c>
      <c r="D36" s="338" t="s">
        <v>198</v>
      </c>
      <c r="E36" s="139">
        <v>1.1806322674849641</v>
      </c>
      <c r="F36" s="362" t="str">
        <f>IF(D36="","",VLOOKUP(D36,'G-7 WaterC'' Data'!$B$2:$G$8,2,FALSE))</f>
        <v>Medium</v>
      </c>
      <c r="G36" s="363">
        <f>IFERROR(VLOOKUP(F36,'G-7 WaterC'' Data'!$C$4:$D$8,2,FALSE),"")</f>
        <v>4</v>
      </c>
      <c r="H36" s="114" t="s">
        <v>329</v>
      </c>
      <c r="I36" s="363">
        <f>IFERROR(INDEX('G-7 WaterC'' Data'!$H$4:$L$8,MATCH(D36,'G-7 WaterC'' Data'!$B$4:$B$8,0),MATCH(H36,'G-7 WaterC'' Data'!$H$3:$L$3,0)),"")</f>
        <v>1</v>
      </c>
      <c r="J36" s="320" t="s">
        <v>1037</v>
      </c>
      <c r="K36" s="398" t="str">
        <f>IF(J36="","",IF(VLOOKUP(J36,'G-7 WaterC'' Data'!$AK$4:$AM$6,2,FALSE)=0,"Spatial Data Missing ⚠",VLOOKUP(J36,'G-7 WaterC'' Data'!$AK$4:$AM$6,2,FALSE)))</f>
        <v>Low Strategic Significance</v>
      </c>
      <c r="L36" s="368">
        <f>IF(J36="","",IF(VLOOKUP(J36,'G-7 WaterC'' Data'!$AK$4:$AM$9,3,FALSE)=0,"Spatial Data Missing ⚠",VLOOKUP(J36,'G-7 WaterC'' Data'!$AK$4:$AM$6,3,FALSE)))</f>
        <v>1</v>
      </c>
      <c r="M36" s="54" t="s">
        <v>1126</v>
      </c>
      <c r="N36" s="363">
        <f>IF(M36="","",IF(VLOOKUP(M36,'G-7 WaterC'' Data'!$AA$4:$AB$7,2,FALSE)=0,"Spatial Data Missing ⚠",VLOOKUP(M36,'G-7 WaterC'' Data'!$AA$4:$AB$7,2,FALSE)))</f>
        <v>1</v>
      </c>
      <c r="O36" s="60" t="s">
        <v>1127</v>
      </c>
      <c r="P36" s="363">
        <f>IF(O36="","",IF(VLOOKUP(O36,'G-7 WaterC'' Data'!$AD$4:$AE$14,2,FALSE)=0,"Spatial Data Missing ⚠",VLOOKUP(O36,'G-7 WaterC'' Data'!$AD$4:$AE$14,2,FALSE)))</f>
        <v>0.75</v>
      </c>
      <c r="Q36" s="369" t="str">
        <f>IF(D36="","",VLOOKUP(D36,'G-7 WaterC'' Data'!$B$2:$G$8,6,FALSE))</f>
        <v>Same habitat required =</v>
      </c>
      <c r="R36" s="376">
        <f>IFERROR(IF(D36="","",IF(AND(Q36='G-1 All Habitats'!$X$3,U36&gt;0),V36+W36,IF(AND(Q36='G-1 All Habitats'!$X$3,T36&gt;0),V36+W36,IF(AND(Q36='G-1 All Habitats'!$X$3,AD36&gt;0),"Any Loss Unacceptable ⚠",IF(AND(Q36='G-1 All Habitats'!$X$3,AE36&gt;0),"Any Loss Unacceptable ⚠", E36*G36*I36*L36*N36*P36 ))))),"Check Data ▲")</f>
        <v>3.5418968024548922</v>
      </c>
      <c r="S36" s="32"/>
      <c r="T36" s="114">
        <v>0</v>
      </c>
      <c r="U36" s="125">
        <v>1.1806322674849641</v>
      </c>
      <c r="V36" s="374">
        <f t="shared" si="0"/>
        <v>0</v>
      </c>
      <c r="W36" s="374">
        <f t="shared" si="1"/>
        <v>3.5418968024548922</v>
      </c>
      <c r="X36" s="374">
        <f t="shared" si="2"/>
        <v>0</v>
      </c>
      <c r="Y36" s="670">
        <f t="shared" si="3"/>
        <v>0</v>
      </c>
      <c r="Z36" s="706"/>
      <c r="AA36" s="704"/>
      <c r="AB36" s="120"/>
      <c r="AC36" s="120" t="s">
        <v>2028</v>
      </c>
      <c r="AD36" s="57" t="str">
        <f>IF(Q36="","",IF(Q36='G-1 All Habitats'!$X$3,E36-T36-U36,"None"))</f>
        <v>None</v>
      </c>
      <c r="AE36" s="58" t="str">
        <f>IF(Q36="","", IF(Q36='G-1 All Habitats'!$X$3, AD36*G36*I36*L36*N36*P36,"None"))</f>
        <v>None</v>
      </c>
      <c r="AH36" s="30">
        <f t="shared" si="4"/>
        <v>0</v>
      </c>
      <c r="AI36" s="124" t="b">
        <f t="shared" si="5"/>
        <v>0</v>
      </c>
      <c r="AJ36" s="124" t="b">
        <f t="shared" si="6"/>
        <v>1</v>
      </c>
      <c r="AL36" s="124">
        <v>27</v>
      </c>
      <c r="AN36" s="124" t="str">
        <f t="array" ref="AN36">IFERROR(INDEX($AL$10:$AL$258, MATCH(0, IF(TRUE=$AI$10:$AI$258, COUNTIF($AN$9:$AN35, $AL$10:$AL$258), ""), 0)),"")</f>
        <v/>
      </c>
      <c r="AO36" s="124">
        <f t="array" ref="AO36">IFERROR(INDEX($AL$10:$AL$258, MATCH(0, IF(TRUE=$AJ$10:$AJ$258, COUNTIF($AO$9:$AO35, $AL$10:$AL$258), ""), 0)),"")</f>
        <v>31</v>
      </c>
      <c r="AQ36" s="30" t="str">
        <f>IFERROR(INDEX('G-7 WaterC'' Data'!$AZ$3:$AZ$7,MATCH(D36,'G-7 WaterC'' Data'!$AY$3:$AY$7,0)),"")</f>
        <v>Rivercond1</v>
      </c>
      <c r="AR36" s="30" t="str">
        <f>IFERROR(INDEX('G-7 WaterC'' Data'!AZ36:AZ40,MATCH(D36,'G-7 WaterC'' Data'!$AY$10:$AY$14,0)),"")</f>
        <v/>
      </c>
    </row>
    <row r="37" spans="3:44" ht="28.5" x14ac:dyDescent="0.2">
      <c r="C37" s="110">
        <v>28</v>
      </c>
      <c r="D37" s="338" t="s">
        <v>198</v>
      </c>
      <c r="E37" s="139">
        <v>0.22259109128967375</v>
      </c>
      <c r="F37" s="362" t="str">
        <f>IF(D37="","",VLOOKUP(D37,'G-7 WaterC'' Data'!$B$2:$G$8,2,FALSE))</f>
        <v>Medium</v>
      </c>
      <c r="G37" s="363">
        <f>IFERROR(VLOOKUP(F37,'G-7 WaterC'' Data'!$C$4:$D$8,2,FALSE),"")</f>
        <v>4</v>
      </c>
      <c r="H37" s="114" t="s">
        <v>329</v>
      </c>
      <c r="I37" s="363">
        <f>IFERROR(INDEX('G-7 WaterC'' Data'!$H$4:$L$8,MATCH(D37,'G-7 WaterC'' Data'!$B$4:$B$8,0),MATCH(H37,'G-7 WaterC'' Data'!$H$3:$L$3,0)),"")</f>
        <v>1</v>
      </c>
      <c r="J37" s="320" t="s">
        <v>1037</v>
      </c>
      <c r="K37" s="398" t="str">
        <f>IF(J37="","",IF(VLOOKUP(J37,'G-7 WaterC'' Data'!$AK$4:$AM$6,2,FALSE)=0,"Spatial Data Missing ⚠",VLOOKUP(J37,'G-7 WaterC'' Data'!$AK$4:$AM$6,2,FALSE)))</f>
        <v>Low Strategic Significance</v>
      </c>
      <c r="L37" s="368">
        <f>IF(J37="","",IF(VLOOKUP(J37,'G-7 WaterC'' Data'!$AK$4:$AM$9,3,FALSE)=0,"Spatial Data Missing ⚠",VLOOKUP(J37,'G-7 WaterC'' Data'!$AK$4:$AM$6,3,FALSE)))</f>
        <v>1</v>
      </c>
      <c r="M37" s="54" t="s">
        <v>1126</v>
      </c>
      <c r="N37" s="363">
        <f>IF(M37="","",IF(VLOOKUP(M37,'G-7 WaterC'' Data'!$AA$4:$AB$7,2,FALSE)=0,"Spatial Data Missing ⚠",VLOOKUP(M37,'G-7 WaterC'' Data'!$AA$4:$AB$7,2,FALSE)))</f>
        <v>1</v>
      </c>
      <c r="O37" s="60" t="s">
        <v>1127</v>
      </c>
      <c r="P37" s="363">
        <f>IF(O37="","",IF(VLOOKUP(O37,'G-7 WaterC'' Data'!$AD$4:$AE$14,2,FALSE)=0,"Spatial Data Missing ⚠",VLOOKUP(O37,'G-7 WaterC'' Data'!$AD$4:$AE$14,2,FALSE)))</f>
        <v>0.75</v>
      </c>
      <c r="Q37" s="369" t="str">
        <f>IF(D37="","",VLOOKUP(D37,'G-7 WaterC'' Data'!$B$2:$G$8,6,FALSE))</f>
        <v>Same habitat required =</v>
      </c>
      <c r="R37" s="376">
        <f>IFERROR(IF(D37="","",IF(AND(Q37='G-1 All Habitats'!$X$3,U37&gt;0),V37+W37,IF(AND(Q37='G-1 All Habitats'!$X$3,T37&gt;0),V37+W37,IF(AND(Q37='G-1 All Habitats'!$X$3,AD37&gt;0),"Any Loss Unacceptable ⚠",IF(AND(Q37='G-1 All Habitats'!$X$3,AE37&gt;0),"Any Loss Unacceptable ⚠", E37*G37*I37*L37*N37*P37 ))))),"Check Data ▲")</f>
        <v>0.66777327386902119</v>
      </c>
      <c r="S37" s="32"/>
      <c r="T37" s="114">
        <v>0</v>
      </c>
      <c r="U37" s="125">
        <v>0.22259109128967375</v>
      </c>
      <c r="V37" s="374">
        <f t="shared" si="0"/>
        <v>0</v>
      </c>
      <c r="W37" s="374">
        <f t="shared" si="1"/>
        <v>0.66777327386902119</v>
      </c>
      <c r="X37" s="374">
        <f t="shared" si="2"/>
        <v>0</v>
      </c>
      <c r="Y37" s="670">
        <f t="shared" si="3"/>
        <v>0</v>
      </c>
      <c r="Z37" s="706"/>
      <c r="AA37" s="704"/>
      <c r="AB37" s="120"/>
      <c r="AC37" s="120" t="s">
        <v>2029</v>
      </c>
      <c r="AD37" s="57" t="str">
        <f>IF(Q37="","",IF(Q37='G-1 All Habitats'!$X$3,E37-T37-U37,"None"))</f>
        <v>None</v>
      </c>
      <c r="AE37" s="58" t="str">
        <f>IF(Q37="","", IF(Q37='G-1 All Habitats'!$X$3, AD37*G37*I37*L37*N37*P37,"None"))</f>
        <v>None</v>
      </c>
      <c r="AH37" s="30">
        <f t="shared" si="4"/>
        <v>0</v>
      </c>
      <c r="AI37" s="124" t="b">
        <f t="shared" si="5"/>
        <v>0</v>
      </c>
      <c r="AJ37" s="124" t="b">
        <f t="shared" si="6"/>
        <v>1</v>
      </c>
      <c r="AL37" s="124">
        <v>28</v>
      </c>
      <c r="AN37" s="124" t="str">
        <f t="array" ref="AN37">IFERROR(INDEX($AL$10:$AL$258, MATCH(0, IF(TRUE=$AI$10:$AI$258, COUNTIF($AN$9:$AN36, $AL$10:$AL$258), ""), 0)),"")</f>
        <v/>
      </c>
      <c r="AO37" s="124">
        <f t="array" ref="AO37">IFERROR(INDEX($AL$10:$AL$258, MATCH(0, IF(TRUE=$AJ$10:$AJ$258, COUNTIF($AO$9:$AO36, $AL$10:$AL$258), ""), 0)),"")</f>
        <v>32</v>
      </c>
      <c r="AQ37" s="30" t="str">
        <f>IFERROR(INDEX('G-7 WaterC'' Data'!$AZ$3:$AZ$7,MATCH(D37,'G-7 WaterC'' Data'!$AY$3:$AY$7,0)),"")</f>
        <v>Rivercond1</v>
      </c>
      <c r="AR37" s="30" t="str">
        <f>IFERROR(INDEX('G-7 WaterC'' Data'!AZ37:AZ41,MATCH(D37,'G-7 WaterC'' Data'!$AY$10:$AY$14,0)),"")</f>
        <v/>
      </c>
    </row>
    <row r="38" spans="3:44" ht="28.5" x14ac:dyDescent="0.2">
      <c r="C38" s="110">
        <v>29</v>
      </c>
      <c r="D38" s="338" t="s">
        <v>198</v>
      </c>
      <c r="E38" s="139">
        <v>0.59567824991111384</v>
      </c>
      <c r="F38" s="362" t="str">
        <f>IF(D38="","",VLOOKUP(D38,'G-7 WaterC'' Data'!$B$2:$G$8,2,FALSE))</f>
        <v>Medium</v>
      </c>
      <c r="G38" s="363">
        <f>IFERROR(VLOOKUP(F38,'G-7 WaterC'' Data'!$C$4:$D$8,2,FALSE),"")</f>
        <v>4</v>
      </c>
      <c r="H38" s="114" t="s">
        <v>329</v>
      </c>
      <c r="I38" s="363">
        <f>IFERROR(INDEX('G-7 WaterC'' Data'!$H$4:$L$8,MATCH(D38,'G-7 WaterC'' Data'!$B$4:$B$8,0),MATCH(H38,'G-7 WaterC'' Data'!$H$3:$L$3,0)),"")</f>
        <v>1</v>
      </c>
      <c r="J38" s="320" t="s">
        <v>1037</v>
      </c>
      <c r="K38" s="398" t="str">
        <f>IF(J38="","",IF(VLOOKUP(J38,'G-7 WaterC'' Data'!$AK$4:$AM$6,2,FALSE)=0,"Spatial Data Missing ⚠",VLOOKUP(J38,'G-7 WaterC'' Data'!$AK$4:$AM$6,2,FALSE)))</f>
        <v>Low Strategic Significance</v>
      </c>
      <c r="L38" s="368">
        <f>IF(J38="","",IF(VLOOKUP(J38,'G-7 WaterC'' Data'!$AK$4:$AM$9,3,FALSE)=0,"Spatial Data Missing ⚠",VLOOKUP(J38,'G-7 WaterC'' Data'!$AK$4:$AM$6,3,FALSE)))</f>
        <v>1</v>
      </c>
      <c r="M38" s="54" t="s">
        <v>1126</v>
      </c>
      <c r="N38" s="363">
        <f>IF(M38="","",IF(VLOOKUP(M38,'G-7 WaterC'' Data'!$AA$4:$AB$7,2,FALSE)=0,"Spatial Data Missing ⚠",VLOOKUP(M38,'G-7 WaterC'' Data'!$AA$4:$AB$7,2,FALSE)))</f>
        <v>1</v>
      </c>
      <c r="O38" s="60" t="s">
        <v>1127</v>
      </c>
      <c r="P38" s="363">
        <f>IF(O38="","",IF(VLOOKUP(O38,'G-7 WaterC'' Data'!$AD$4:$AE$14,2,FALSE)=0,"Spatial Data Missing ⚠",VLOOKUP(O38,'G-7 WaterC'' Data'!$AD$4:$AE$14,2,FALSE)))</f>
        <v>0.75</v>
      </c>
      <c r="Q38" s="369" t="str">
        <f>IF(D38="","",VLOOKUP(D38,'G-7 WaterC'' Data'!$B$2:$G$8,6,FALSE))</f>
        <v>Same habitat required =</v>
      </c>
      <c r="R38" s="376">
        <f>IFERROR(IF(D38="","",IF(AND(Q38='G-1 All Habitats'!$X$3,U38&gt;0),V38+W38,IF(AND(Q38='G-1 All Habitats'!$X$3,T38&gt;0),V38+W38,IF(AND(Q38='G-1 All Habitats'!$X$3,AD38&gt;0),"Any Loss Unacceptable ⚠",IF(AND(Q38='G-1 All Habitats'!$X$3,AE38&gt;0),"Any Loss Unacceptable ⚠", E38*G38*I38*L38*N38*P38 ))))),"Check Data ▲")</f>
        <v>1.7870347497333414</v>
      </c>
      <c r="S38" s="32"/>
      <c r="T38" s="114">
        <v>0</v>
      </c>
      <c r="U38" s="125">
        <v>0.59567824991111384</v>
      </c>
      <c r="V38" s="374">
        <f t="shared" si="0"/>
        <v>0</v>
      </c>
      <c r="W38" s="374">
        <f t="shared" si="1"/>
        <v>1.7870347497333414</v>
      </c>
      <c r="X38" s="374">
        <f t="shared" si="2"/>
        <v>0</v>
      </c>
      <c r="Y38" s="670">
        <f t="shared" si="3"/>
        <v>0</v>
      </c>
      <c r="Z38" s="706"/>
      <c r="AA38" s="704"/>
      <c r="AB38" s="120"/>
      <c r="AC38" s="120" t="s">
        <v>2030</v>
      </c>
      <c r="AD38" s="57" t="str">
        <f>IF(Q38="","",IF(Q38='G-1 All Habitats'!$X$3,E38-T38-U38,"None"))</f>
        <v>None</v>
      </c>
      <c r="AE38" s="58" t="str">
        <f>IF(Q38="","", IF(Q38='G-1 All Habitats'!$X$3, AD38*G38*I38*L38*N38*P38,"None"))</f>
        <v>None</v>
      </c>
      <c r="AH38" s="30">
        <f t="shared" si="4"/>
        <v>0</v>
      </c>
      <c r="AI38" s="124" t="b">
        <f t="shared" si="5"/>
        <v>0</v>
      </c>
      <c r="AJ38" s="124" t="b">
        <f t="shared" si="6"/>
        <v>1</v>
      </c>
      <c r="AL38" s="124">
        <v>29</v>
      </c>
      <c r="AN38" s="124" t="str">
        <f t="array" ref="AN38">IFERROR(INDEX($AL$10:$AL$258, MATCH(0, IF(TRUE=$AI$10:$AI$258, COUNTIF($AN$9:$AN37, $AL$10:$AL$258), ""), 0)),"")</f>
        <v/>
      </c>
      <c r="AO38" s="124">
        <f t="array" ref="AO38">IFERROR(INDEX($AL$10:$AL$258, MATCH(0, IF(TRUE=$AJ$10:$AJ$258, COUNTIF($AO$9:$AO37, $AL$10:$AL$258), ""), 0)),"")</f>
        <v>33</v>
      </c>
      <c r="AQ38" s="30" t="str">
        <f>IFERROR(INDEX('G-7 WaterC'' Data'!$AZ$3:$AZ$7,MATCH(D38,'G-7 WaterC'' Data'!$AY$3:$AY$7,0)),"")</f>
        <v>Rivercond1</v>
      </c>
      <c r="AR38" s="30" t="str">
        <f>IFERROR(INDEX('G-7 WaterC'' Data'!AZ38:AZ42,MATCH(D38,'G-7 WaterC'' Data'!$AY$10:$AY$14,0)),"")</f>
        <v/>
      </c>
    </row>
    <row r="39" spans="3:44" ht="28.5" x14ac:dyDescent="0.2">
      <c r="C39" s="110">
        <v>30</v>
      </c>
      <c r="D39" s="338" t="s">
        <v>198</v>
      </c>
      <c r="E39" s="139">
        <v>0.31559929546023724</v>
      </c>
      <c r="F39" s="362" t="str">
        <f>IF(D39="","",VLOOKUP(D39,'G-7 WaterC'' Data'!$B$2:$G$8,2,FALSE))</f>
        <v>Medium</v>
      </c>
      <c r="G39" s="363">
        <f>IFERROR(VLOOKUP(F39,'G-7 WaterC'' Data'!$C$4:$D$8,2,FALSE),"")</f>
        <v>4</v>
      </c>
      <c r="H39" s="114" t="s">
        <v>329</v>
      </c>
      <c r="I39" s="363">
        <f>IFERROR(INDEX('G-7 WaterC'' Data'!$H$4:$L$8,MATCH(D39,'G-7 WaterC'' Data'!$B$4:$B$8,0),MATCH(H39,'G-7 WaterC'' Data'!$H$3:$L$3,0)),"")</f>
        <v>1</v>
      </c>
      <c r="J39" s="320" t="s">
        <v>1037</v>
      </c>
      <c r="K39" s="398" t="str">
        <f>IF(J39="","",IF(VLOOKUP(J39,'G-7 WaterC'' Data'!$AK$4:$AM$6,2,FALSE)=0,"Spatial Data Missing ⚠",VLOOKUP(J39,'G-7 WaterC'' Data'!$AK$4:$AM$6,2,FALSE)))</f>
        <v>Low Strategic Significance</v>
      </c>
      <c r="L39" s="368">
        <f>IF(J39="","",IF(VLOOKUP(J39,'G-7 WaterC'' Data'!$AK$4:$AM$9,3,FALSE)=0,"Spatial Data Missing ⚠",VLOOKUP(J39,'G-7 WaterC'' Data'!$AK$4:$AM$6,3,FALSE)))</f>
        <v>1</v>
      </c>
      <c r="M39" s="54" t="s">
        <v>1126</v>
      </c>
      <c r="N39" s="363">
        <f>IF(M39="","",IF(VLOOKUP(M39,'G-7 WaterC'' Data'!$AA$4:$AB$7,2,FALSE)=0,"Spatial Data Missing ⚠",VLOOKUP(M39,'G-7 WaterC'' Data'!$AA$4:$AB$7,2,FALSE)))</f>
        <v>1</v>
      </c>
      <c r="O39" s="60" t="s">
        <v>1127</v>
      </c>
      <c r="P39" s="363">
        <f>IF(O39="","",IF(VLOOKUP(O39,'G-7 WaterC'' Data'!$AD$4:$AE$14,2,FALSE)=0,"Spatial Data Missing ⚠",VLOOKUP(O39,'G-7 WaterC'' Data'!$AD$4:$AE$14,2,FALSE)))</f>
        <v>0.75</v>
      </c>
      <c r="Q39" s="369" t="str">
        <f>IF(D39="","",VLOOKUP(D39,'G-7 WaterC'' Data'!$B$2:$G$8,6,FALSE))</f>
        <v>Same habitat required =</v>
      </c>
      <c r="R39" s="376">
        <f>IFERROR(IF(D39="","",IF(AND(Q39='G-1 All Habitats'!$X$3,U39&gt;0),V39+W39,IF(AND(Q39='G-1 All Habitats'!$X$3,T39&gt;0),V39+W39,IF(AND(Q39='G-1 All Habitats'!$X$3,AD39&gt;0),"Any Loss Unacceptable ⚠",IF(AND(Q39='G-1 All Habitats'!$X$3,AE39&gt;0),"Any Loss Unacceptable ⚠", E39*G39*I39*L39*N39*P39 ))))),"Check Data ▲")</f>
        <v>0.94679788638071172</v>
      </c>
      <c r="S39" s="32"/>
      <c r="T39" s="114">
        <v>0</v>
      </c>
      <c r="U39" s="125">
        <v>0.31559929546023724</v>
      </c>
      <c r="V39" s="374">
        <f t="shared" si="0"/>
        <v>0</v>
      </c>
      <c r="W39" s="374">
        <f t="shared" si="1"/>
        <v>0.94679788638071172</v>
      </c>
      <c r="X39" s="374">
        <f t="shared" si="2"/>
        <v>0</v>
      </c>
      <c r="Y39" s="670">
        <f t="shared" si="3"/>
        <v>0</v>
      </c>
      <c r="Z39" s="706"/>
      <c r="AA39" s="704"/>
      <c r="AB39" s="120"/>
      <c r="AC39" s="120" t="s">
        <v>2031</v>
      </c>
      <c r="AD39" s="57" t="str">
        <f>IF(Q39="","",IF(Q39='G-1 All Habitats'!$X$3,E39-T39-U39,"None"))</f>
        <v>None</v>
      </c>
      <c r="AE39" s="58" t="str">
        <f>IF(Q39="","", IF(Q39='G-1 All Habitats'!$X$3, AD39*G39*I39*L39*N39*P39,"None"))</f>
        <v>None</v>
      </c>
      <c r="AH39" s="30">
        <f t="shared" si="4"/>
        <v>0</v>
      </c>
      <c r="AI39" s="124" t="b">
        <f t="shared" si="5"/>
        <v>0</v>
      </c>
      <c r="AJ39" s="124" t="b">
        <f t="shared" si="6"/>
        <v>1</v>
      </c>
      <c r="AL39" s="124">
        <v>30</v>
      </c>
      <c r="AN39" s="124" t="str">
        <f t="array" ref="AN39">IFERROR(INDEX($AL$10:$AL$258, MATCH(0, IF(TRUE=$AI$10:$AI$258, COUNTIF($AN$9:$AN38, $AL$10:$AL$258), ""), 0)),"")</f>
        <v/>
      </c>
      <c r="AO39" s="124">
        <f t="array" ref="AO39">IFERROR(INDEX($AL$10:$AL$258, MATCH(0, IF(TRUE=$AJ$10:$AJ$258, COUNTIF($AO$9:$AO38, $AL$10:$AL$258), ""), 0)),"")</f>
        <v>35</v>
      </c>
      <c r="AQ39" s="30" t="str">
        <f>IFERROR(INDEX('G-7 WaterC'' Data'!$AZ$3:$AZ$7,MATCH(D39,'G-7 WaterC'' Data'!$AY$3:$AY$7,0)),"")</f>
        <v>Rivercond1</v>
      </c>
      <c r="AR39" s="30" t="str">
        <f>IFERROR(INDEX('G-7 WaterC'' Data'!AZ39:AZ43,MATCH(D39,'G-7 WaterC'' Data'!$AY$10:$AY$14,0)),"")</f>
        <v/>
      </c>
    </row>
    <row r="40" spans="3:44" ht="28.5" x14ac:dyDescent="0.2">
      <c r="C40" s="110">
        <v>31</v>
      </c>
      <c r="D40" s="338" t="s">
        <v>198</v>
      </c>
      <c r="E40" s="139">
        <v>0.19785248353610904</v>
      </c>
      <c r="F40" s="362" t="str">
        <f>IF(D40="","",VLOOKUP(D40,'G-7 WaterC'' Data'!$B$2:$G$8,2,FALSE))</f>
        <v>Medium</v>
      </c>
      <c r="G40" s="363">
        <f>IFERROR(VLOOKUP(F40,'G-7 WaterC'' Data'!$C$4:$D$8,2,FALSE),"")</f>
        <v>4</v>
      </c>
      <c r="H40" s="114" t="s">
        <v>329</v>
      </c>
      <c r="I40" s="363">
        <f>IFERROR(INDEX('G-7 WaterC'' Data'!$H$4:$L$8,MATCH(D40,'G-7 WaterC'' Data'!$B$4:$B$8,0),MATCH(H40,'G-7 WaterC'' Data'!$H$3:$L$3,0)),"")</f>
        <v>1</v>
      </c>
      <c r="J40" s="320" t="s">
        <v>1029</v>
      </c>
      <c r="K40" s="398" t="str">
        <f>IF(J40="","",IF(VLOOKUP(J40,'G-7 WaterC'' Data'!$AK$4:$AM$6,2,FALSE)=0,"Spatial Data Missing ⚠",VLOOKUP(J40,'G-7 WaterC'' Data'!$AK$4:$AM$6,2,FALSE)))</f>
        <v xml:space="preserve">High strategic significance </v>
      </c>
      <c r="L40" s="368">
        <f>IF(J40="","",IF(VLOOKUP(J40,'G-7 WaterC'' Data'!$AK$4:$AM$9,3,FALSE)=0,"Spatial Data Missing ⚠",VLOOKUP(J40,'G-7 WaterC'' Data'!$AK$4:$AM$6,3,FALSE)))</f>
        <v>1.1499999999999999</v>
      </c>
      <c r="M40" s="54" t="s">
        <v>1126</v>
      </c>
      <c r="N40" s="363">
        <f>IF(M40="","",IF(VLOOKUP(M40,'G-7 WaterC'' Data'!$AA$4:$AB$7,2,FALSE)=0,"Spatial Data Missing ⚠",VLOOKUP(M40,'G-7 WaterC'' Data'!$AA$4:$AB$7,2,FALSE)))</f>
        <v>1</v>
      </c>
      <c r="O40" s="60" t="s">
        <v>1127</v>
      </c>
      <c r="P40" s="363">
        <f>IF(O40="","",IF(VLOOKUP(O40,'G-7 WaterC'' Data'!$AD$4:$AE$14,2,FALSE)=0,"Spatial Data Missing ⚠",VLOOKUP(O40,'G-7 WaterC'' Data'!$AD$4:$AE$14,2,FALSE)))</f>
        <v>0.75</v>
      </c>
      <c r="Q40" s="369" t="str">
        <f>IF(D40="","",VLOOKUP(D40,'G-7 WaterC'' Data'!$B$2:$G$8,6,FALSE))</f>
        <v>Same habitat required =</v>
      </c>
      <c r="R40" s="376">
        <f>IFERROR(IF(D40="","",IF(AND(Q40='G-1 All Habitats'!$X$3,U40&gt;0),V40+W40,IF(AND(Q40='G-1 All Habitats'!$X$3,T40&gt;0),V40+W40,IF(AND(Q40='G-1 All Habitats'!$X$3,AD40&gt;0),"Any Loss Unacceptable ⚠",IF(AND(Q40='G-1 All Habitats'!$X$3,AE40&gt;0),"Any Loss Unacceptable ⚠", E40*G40*I40*L40*N40*P40 ))))),"Check Data ▲")</f>
        <v>0.68259106819957616</v>
      </c>
      <c r="S40" s="32"/>
      <c r="T40" s="114">
        <v>0</v>
      </c>
      <c r="U40" s="125">
        <v>0.19785248353610904</v>
      </c>
      <c r="V40" s="374">
        <f t="shared" si="0"/>
        <v>0</v>
      </c>
      <c r="W40" s="374">
        <f t="shared" si="1"/>
        <v>0.68259106819957616</v>
      </c>
      <c r="X40" s="374">
        <f t="shared" si="2"/>
        <v>0</v>
      </c>
      <c r="Y40" s="670">
        <f t="shared" si="3"/>
        <v>0</v>
      </c>
      <c r="Z40" s="706"/>
      <c r="AA40" s="704"/>
      <c r="AB40" s="120"/>
      <c r="AC40" s="120" t="s">
        <v>2032</v>
      </c>
      <c r="AD40" s="57" t="str">
        <f>IF(Q40="","",IF(Q40='G-1 All Habitats'!$X$3,E40-T40-U40,"None"))</f>
        <v>None</v>
      </c>
      <c r="AE40" s="58" t="str">
        <f>IF(Q40="","", IF(Q40='G-1 All Habitats'!$X$3, AD40*G40*I40*L40*N40*P40,"None"))</f>
        <v>None</v>
      </c>
      <c r="AH40" s="30">
        <f t="shared" si="4"/>
        <v>0</v>
      </c>
      <c r="AI40" s="124" t="b">
        <f t="shared" si="5"/>
        <v>0</v>
      </c>
      <c r="AJ40" s="124" t="b">
        <f t="shared" si="6"/>
        <v>1</v>
      </c>
      <c r="AL40" s="124">
        <v>31</v>
      </c>
      <c r="AN40" s="124" t="str">
        <f t="array" ref="AN40">IFERROR(INDEX($AL$10:$AL$258, MATCH(0, IF(TRUE=$AI$10:$AI$258, COUNTIF($AN$9:$AN39, $AL$10:$AL$258), ""), 0)),"")</f>
        <v/>
      </c>
      <c r="AO40" s="124">
        <f t="array" ref="AO40">IFERROR(INDEX($AL$10:$AL$258, MATCH(0, IF(TRUE=$AJ$10:$AJ$258, COUNTIF($AO$9:$AO39, $AL$10:$AL$258), ""), 0)),"")</f>
        <v>36</v>
      </c>
      <c r="AQ40" s="30" t="str">
        <f>IFERROR(INDEX('G-7 WaterC'' Data'!$AZ$3:$AZ$7,MATCH(D40,'G-7 WaterC'' Data'!$AY$3:$AY$7,0)),"")</f>
        <v>Rivercond1</v>
      </c>
      <c r="AR40" s="30" t="str">
        <f>IFERROR(INDEX('G-7 WaterC'' Data'!AZ40:AZ44,MATCH(D40,'G-7 WaterC'' Data'!$AY$10:$AY$14,0)),"")</f>
        <v/>
      </c>
    </row>
    <row r="41" spans="3:44" ht="28.5" x14ac:dyDescent="0.2">
      <c r="C41" s="110">
        <v>32</v>
      </c>
      <c r="D41" s="338" t="s">
        <v>198</v>
      </c>
      <c r="E41" s="139">
        <v>2.3438422364524436E-3</v>
      </c>
      <c r="F41" s="362" t="str">
        <f>IF(D41="","",VLOOKUP(D41,'G-7 WaterC'' Data'!$B$2:$G$8,2,FALSE))</f>
        <v>Medium</v>
      </c>
      <c r="G41" s="363">
        <f>IFERROR(VLOOKUP(F41,'G-7 WaterC'' Data'!$C$4:$D$8,2,FALSE),"")</f>
        <v>4</v>
      </c>
      <c r="H41" s="114" t="s">
        <v>329</v>
      </c>
      <c r="I41" s="363">
        <f>IFERROR(INDEX('G-7 WaterC'' Data'!$H$4:$L$8,MATCH(D41,'G-7 WaterC'' Data'!$B$4:$B$8,0),MATCH(H41,'G-7 WaterC'' Data'!$H$3:$L$3,0)),"")</f>
        <v>1</v>
      </c>
      <c r="J41" s="320" t="s">
        <v>1037</v>
      </c>
      <c r="K41" s="398" t="str">
        <f>IF(J41="","",IF(VLOOKUP(J41,'G-7 WaterC'' Data'!$AK$4:$AM$6,2,FALSE)=0,"Spatial Data Missing ⚠",VLOOKUP(J41,'G-7 WaterC'' Data'!$AK$4:$AM$6,2,FALSE)))</f>
        <v>Low Strategic Significance</v>
      </c>
      <c r="L41" s="368">
        <f>IF(J41="","",IF(VLOOKUP(J41,'G-7 WaterC'' Data'!$AK$4:$AM$9,3,FALSE)=0,"Spatial Data Missing ⚠",VLOOKUP(J41,'G-7 WaterC'' Data'!$AK$4:$AM$6,3,FALSE)))</f>
        <v>1</v>
      </c>
      <c r="M41" s="54" t="s">
        <v>1126</v>
      </c>
      <c r="N41" s="363">
        <f>IF(M41="","",IF(VLOOKUP(M41,'G-7 WaterC'' Data'!$AA$4:$AB$7,2,FALSE)=0,"Spatial Data Missing ⚠",VLOOKUP(M41,'G-7 WaterC'' Data'!$AA$4:$AB$7,2,FALSE)))</f>
        <v>1</v>
      </c>
      <c r="O41" s="60" t="s">
        <v>1127</v>
      </c>
      <c r="P41" s="363">
        <f>IF(O41="","",IF(VLOOKUP(O41,'G-7 WaterC'' Data'!$AD$4:$AE$14,2,FALSE)=0,"Spatial Data Missing ⚠",VLOOKUP(O41,'G-7 WaterC'' Data'!$AD$4:$AE$14,2,FALSE)))</f>
        <v>0.75</v>
      </c>
      <c r="Q41" s="369" t="str">
        <f>IF(D41="","",VLOOKUP(D41,'G-7 WaterC'' Data'!$B$2:$G$8,6,FALSE))</f>
        <v>Same habitat required =</v>
      </c>
      <c r="R41" s="376">
        <f>IFERROR(IF(D41="","",IF(AND(Q41='G-1 All Habitats'!$X$3,U41&gt;0),V41+W41,IF(AND(Q41='G-1 All Habitats'!$X$3,T41&gt;0),V41+W41,IF(AND(Q41='G-1 All Habitats'!$X$3,AD41&gt;0),"Any Loss Unacceptable ⚠",IF(AND(Q41='G-1 All Habitats'!$X$3,AE41&gt;0),"Any Loss Unacceptable ⚠", E41*G41*I41*L41*N41*P41 ))))),"Check Data ▲")</f>
        <v>7.0315267093573313E-3</v>
      </c>
      <c r="S41" s="32"/>
      <c r="T41" s="114">
        <v>0</v>
      </c>
      <c r="U41" s="125">
        <v>2.3438422364524436E-3</v>
      </c>
      <c r="V41" s="374">
        <f t="shared" si="0"/>
        <v>0</v>
      </c>
      <c r="W41" s="374">
        <f t="shared" si="1"/>
        <v>7.0315267093573313E-3</v>
      </c>
      <c r="X41" s="374">
        <f t="shared" si="2"/>
        <v>0</v>
      </c>
      <c r="Y41" s="670">
        <f t="shared" si="3"/>
        <v>0</v>
      </c>
      <c r="Z41" s="706"/>
      <c r="AA41" s="704"/>
      <c r="AB41" s="120"/>
      <c r="AC41" s="120" t="s">
        <v>2033</v>
      </c>
      <c r="AD41" s="57" t="str">
        <f>IF(Q41="","",IF(Q41='G-1 All Habitats'!$X$3,E41-T41-U41,"None"))</f>
        <v>None</v>
      </c>
      <c r="AE41" s="58" t="str">
        <f>IF(Q41="","", IF(Q41='G-1 All Habitats'!$X$3, AD41*G41*I41*L41*N41*P41,"None"))</f>
        <v>None</v>
      </c>
      <c r="AH41" s="30">
        <f t="shared" si="4"/>
        <v>0</v>
      </c>
      <c r="AI41" s="124" t="b">
        <f t="shared" si="5"/>
        <v>0</v>
      </c>
      <c r="AJ41" s="124" t="b">
        <f t="shared" si="6"/>
        <v>1</v>
      </c>
      <c r="AL41" s="124">
        <v>32</v>
      </c>
      <c r="AN41" s="124" t="str">
        <f t="array" ref="AN41">IFERROR(INDEX($AL$10:$AL$258, MATCH(0, IF(TRUE=$AI$10:$AI$258, COUNTIF($AN$9:$AN40, $AL$10:$AL$258), ""), 0)),"")</f>
        <v/>
      </c>
      <c r="AO41" s="124">
        <f t="array" ref="AO41">IFERROR(INDEX($AL$10:$AL$258, MATCH(0, IF(TRUE=$AJ$10:$AJ$258, COUNTIF($AO$9:$AO40, $AL$10:$AL$258), ""), 0)),"")</f>
        <v>37</v>
      </c>
      <c r="AQ41" s="30" t="str">
        <f>IFERROR(INDEX('G-7 WaterC'' Data'!$AZ$3:$AZ$7,MATCH(D41,'G-7 WaterC'' Data'!$AY$3:$AY$7,0)),"")</f>
        <v>Rivercond1</v>
      </c>
      <c r="AR41" s="30" t="str">
        <f>IFERROR(INDEX('G-7 WaterC'' Data'!AZ41:AZ45,MATCH(D41,'G-7 WaterC'' Data'!$AY$10:$AY$14,0)),"")</f>
        <v/>
      </c>
    </row>
    <row r="42" spans="3:44" ht="28.5" x14ac:dyDescent="0.2">
      <c r="C42" s="110">
        <v>33</v>
      </c>
      <c r="D42" s="338" t="s">
        <v>198</v>
      </c>
      <c r="E42" s="139">
        <v>0.76470390326926829</v>
      </c>
      <c r="F42" s="362" t="str">
        <f>IF(D42="","",VLOOKUP(D42,'G-7 WaterC'' Data'!$B$2:$G$8,2,FALSE))</f>
        <v>Medium</v>
      </c>
      <c r="G42" s="363">
        <f>IFERROR(VLOOKUP(F42,'G-7 WaterC'' Data'!$C$4:$D$8,2,FALSE),"")</f>
        <v>4</v>
      </c>
      <c r="H42" s="114" t="s">
        <v>329</v>
      </c>
      <c r="I42" s="363">
        <f>IFERROR(INDEX('G-7 WaterC'' Data'!$H$4:$L$8,MATCH(D42,'G-7 WaterC'' Data'!$B$4:$B$8,0),MATCH(H42,'G-7 WaterC'' Data'!$H$3:$L$3,0)),"")</f>
        <v>1</v>
      </c>
      <c r="J42" s="320" t="s">
        <v>1029</v>
      </c>
      <c r="K42" s="398" t="str">
        <f>IF(J42="","",IF(VLOOKUP(J42,'G-7 WaterC'' Data'!$AK$4:$AM$6,2,FALSE)=0,"Spatial Data Missing ⚠",VLOOKUP(J42,'G-7 WaterC'' Data'!$AK$4:$AM$6,2,FALSE)))</f>
        <v xml:space="preserve">High strategic significance </v>
      </c>
      <c r="L42" s="368">
        <f>IF(J42="","",IF(VLOOKUP(J42,'G-7 WaterC'' Data'!$AK$4:$AM$9,3,FALSE)=0,"Spatial Data Missing ⚠",VLOOKUP(J42,'G-7 WaterC'' Data'!$AK$4:$AM$6,3,FALSE)))</f>
        <v>1.1499999999999999</v>
      </c>
      <c r="M42" s="54" t="s">
        <v>1126</v>
      </c>
      <c r="N42" s="363">
        <f>IF(M42="","",IF(VLOOKUP(M42,'G-7 WaterC'' Data'!$AA$4:$AB$7,2,FALSE)=0,"Spatial Data Missing ⚠",VLOOKUP(M42,'G-7 WaterC'' Data'!$AA$4:$AB$7,2,FALSE)))</f>
        <v>1</v>
      </c>
      <c r="O42" s="60" t="s">
        <v>1127</v>
      </c>
      <c r="P42" s="363">
        <f>IF(O42="","",IF(VLOOKUP(O42,'G-7 WaterC'' Data'!$AD$4:$AE$14,2,FALSE)=0,"Spatial Data Missing ⚠",VLOOKUP(O42,'G-7 WaterC'' Data'!$AD$4:$AE$14,2,FALSE)))</f>
        <v>0.75</v>
      </c>
      <c r="Q42" s="369" t="str">
        <f>IF(D42="","",VLOOKUP(D42,'G-7 WaterC'' Data'!$B$2:$G$8,6,FALSE))</f>
        <v>Same habitat required =</v>
      </c>
      <c r="R42" s="376">
        <f>IFERROR(IF(D42="","",IF(AND(Q42='G-1 All Habitats'!$X$3,U42&gt;0),V42+W42,IF(AND(Q42='G-1 All Habitats'!$X$3,T42&gt;0),V42+W42,IF(AND(Q42='G-1 All Habitats'!$X$3,AD42&gt;0),"Any Loss Unacceptable ⚠",IF(AND(Q42='G-1 All Habitats'!$X$3,AE42&gt;0),"Any Loss Unacceptable ⚠", E42*G42*I42*L42*N42*P42 ))))),"Check Data ▲")</f>
        <v>2.6382284662789757</v>
      </c>
      <c r="S42" s="32"/>
      <c r="T42" s="114">
        <v>0</v>
      </c>
      <c r="U42" s="125">
        <v>0.76470390326926829</v>
      </c>
      <c r="V42" s="374">
        <f t="shared" si="0"/>
        <v>0</v>
      </c>
      <c r="W42" s="374">
        <f t="shared" si="1"/>
        <v>2.6382284662789757</v>
      </c>
      <c r="X42" s="374">
        <f t="shared" si="2"/>
        <v>0</v>
      </c>
      <c r="Y42" s="670">
        <f t="shared" si="3"/>
        <v>0</v>
      </c>
      <c r="Z42" s="706"/>
      <c r="AA42" s="704"/>
      <c r="AB42" s="120"/>
      <c r="AC42" s="120" t="s">
        <v>2034</v>
      </c>
      <c r="AD42" s="57" t="str">
        <f>IF(Q42="","",IF(Q42='G-1 All Habitats'!$X$3,E42-T42-U42,"None"))</f>
        <v>None</v>
      </c>
      <c r="AE42" s="58" t="str">
        <f>IF(Q42="","", IF(Q42='G-1 All Habitats'!$X$3, AD42*G42*I42*L42*N42*P42,"None"))</f>
        <v>None</v>
      </c>
      <c r="AH42" s="30">
        <f t="shared" si="4"/>
        <v>0</v>
      </c>
      <c r="AI42" s="124" t="b">
        <f t="shared" si="5"/>
        <v>0</v>
      </c>
      <c r="AJ42" s="124" t="b">
        <f t="shared" si="6"/>
        <v>1</v>
      </c>
      <c r="AL42" s="124">
        <v>33</v>
      </c>
      <c r="AN42" s="124" t="str">
        <f t="array" ref="AN42">IFERROR(INDEX($AL$10:$AL$258, MATCH(0, IF(TRUE=$AI$10:$AI$258, COUNTIF($AN$9:$AN41, $AL$10:$AL$258), ""), 0)),"")</f>
        <v/>
      </c>
      <c r="AO42" s="124">
        <f t="array" ref="AO42">IFERROR(INDEX($AL$10:$AL$258, MATCH(0, IF(TRUE=$AJ$10:$AJ$258, COUNTIF($AO$9:$AO41, $AL$10:$AL$258), ""), 0)),"")</f>
        <v>38</v>
      </c>
      <c r="AQ42" s="30" t="str">
        <f>IFERROR(INDEX('G-7 WaterC'' Data'!$AZ$3:$AZ$7,MATCH(D42,'G-7 WaterC'' Data'!$AY$3:$AY$7,0)),"")</f>
        <v>Rivercond1</v>
      </c>
      <c r="AR42" s="30" t="str">
        <f>IFERROR(INDEX('G-7 WaterC'' Data'!AZ42:AZ46,MATCH(D42,'G-7 WaterC'' Data'!$AY$10:$AY$14,0)),"")</f>
        <v/>
      </c>
    </row>
    <row r="43" spans="3:44" ht="28.5" x14ac:dyDescent="0.2">
      <c r="C43" s="110">
        <v>34</v>
      </c>
      <c r="D43" s="338" t="s">
        <v>198</v>
      </c>
      <c r="E43" s="139">
        <v>9.3721564557080954E-13</v>
      </c>
      <c r="F43" s="362" t="str">
        <f>IF(D43="","",VLOOKUP(D43,'G-7 WaterC'' Data'!$B$2:$G$8,2,FALSE))</f>
        <v>Medium</v>
      </c>
      <c r="G43" s="363">
        <f>IFERROR(VLOOKUP(F43,'G-7 WaterC'' Data'!$C$4:$D$8,2,FALSE),"")</f>
        <v>4</v>
      </c>
      <c r="H43" s="114" t="s">
        <v>329</v>
      </c>
      <c r="I43" s="363">
        <f>IFERROR(INDEX('G-7 WaterC'' Data'!$H$4:$L$8,MATCH(D43,'G-7 WaterC'' Data'!$B$4:$B$8,0),MATCH(H43,'G-7 WaterC'' Data'!$H$3:$L$3,0)),"")</f>
        <v>1</v>
      </c>
      <c r="J43" s="320" t="s">
        <v>1029</v>
      </c>
      <c r="K43" s="398" t="str">
        <f>IF(J43="","",IF(VLOOKUP(J43,'G-7 WaterC'' Data'!$AK$4:$AM$6,2,FALSE)=0,"Spatial Data Missing ⚠",VLOOKUP(J43,'G-7 WaterC'' Data'!$AK$4:$AM$6,2,FALSE)))</f>
        <v xml:space="preserve">High strategic significance </v>
      </c>
      <c r="L43" s="368">
        <f>IF(J43="","",IF(VLOOKUP(J43,'G-7 WaterC'' Data'!$AK$4:$AM$9,3,FALSE)=0,"Spatial Data Missing ⚠",VLOOKUP(J43,'G-7 WaterC'' Data'!$AK$4:$AM$6,3,FALSE)))</f>
        <v>1.1499999999999999</v>
      </c>
      <c r="M43" s="54" t="s">
        <v>1126</v>
      </c>
      <c r="N43" s="363">
        <f>IF(M43="","",IF(VLOOKUP(M43,'G-7 WaterC'' Data'!$AA$4:$AB$7,2,FALSE)=0,"Spatial Data Missing ⚠",VLOOKUP(M43,'G-7 WaterC'' Data'!$AA$4:$AB$7,2,FALSE)))</f>
        <v>1</v>
      </c>
      <c r="O43" s="60" t="s">
        <v>1127</v>
      </c>
      <c r="P43" s="363">
        <f>IF(O43="","",IF(VLOOKUP(O43,'G-7 WaterC'' Data'!$AD$4:$AE$14,2,FALSE)=0,"Spatial Data Missing ⚠",VLOOKUP(O43,'G-7 WaterC'' Data'!$AD$4:$AE$14,2,FALSE)))</f>
        <v>0.75</v>
      </c>
      <c r="Q43" s="369" t="str">
        <f>IF(D43="","",VLOOKUP(D43,'G-7 WaterC'' Data'!$B$2:$G$8,6,FALSE))</f>
        <v>Same habitat required =</v>
      </c>
      <c r="R43" s="376">
        <f>IFERROR(IF(D43="","",IF(AND(Q43='G-1 All Habitats'!$X$3,U43&gt;0),V43+W43,IF(AND(Q43='G-1 All Habitats'!$X$3,T43&gt;0),V43+W43,IF(AND(Q43='G-1 All Habitats'!$X$3,AD43&gt;0),"Any Loss Unacceptable ⚠",IF(AND(Q43='G-1 All Habitats'!$X$3,AE43&gt;0),"Any Loss Unacceptable ⚠", E43*G43*I43*L43*N43*P43 ))))),"Check Data ▲")</f>
        <v>3.2333939772192926E-12</v>
      </c>
      <c r="S43" s="32"/>
      <c r="T43" s="114">
        <v>9.3721564557080954E-13</v>
      </c>
      <c r="U43" s="125">
        <v>0</v>
      </c>
      <c r="V43" s="374">
        <f t="shared" si="0"/>
        <v>3.2333939772192926E-12</v>
      </c>
      <c r="W43" s="374">
        <f t="shared" si="1"/>
        <v>0</v>
      </c>
      <c r="X43" s="374">
        <f t="shared" si="2"/>
        <v>0</v>
      </c>
      <c r="Y43" s="670">
        <f t="shared" si="3"/>
        <v>0</v>
      </c>
      <c r="Z43" s="706"/>
      <c r="AA43" s="704"/>
      <c r="AB43" s="120"/>
      <c r="AC43" s="120" t="s">
        <v>2035</v>
      </c>
      <c r="AD43" s="57" t="str">
        <f>IF(Q43="","",IF(Q43='G-1 All Habitats'!$X$3,E43-T43-U43,"None"))</f>
        <v>None</v>
      </c>
      <c r="AE43" s="58" t="str">
        <f>IF(Q43="","", IF(Q43='G-1 All Habitats'!$X$3, AD43*G43*I43*L43*N43*P43,"None"))</f>
        <v>None</v>
      </c>
      <c r="AH43" s="30">
        <f t="shared" si="4"/>
        <v>0</v>
      </c>
      <c r="AI43" s="124" t="b">
        <f t="shared" si="5"/>
        <v>1</v>
      </c>
      <c r="AJ43" s="124" t="b">
        <f t="shared" si="6"/>
        <v>0</v>
      </c>
      <c r="AL43" s="124">
        <v>34</v>
      </c>
      <c r="AN43" s="124" t="str">
        <f t="array" ref="AN43">IFERROR(INDEX($AL$10:$AL$258, MATCH(0, IF(TRUE=$AI$10:$AI$258, COUNTIF($AN$9:$AN42, $AL$10:$AL$258), ""), 0)),"")</f>
        <v/>
      </c>
      <c r="AO43" s="124">
        <f t="array" ref="AO43">IFERROR(INDEX($AL$10:$AL$258, MATCH(0, IF(TRUE=$AJ$10:$AJ$258, COUNTIF($AO$9:$AO42, $AL$10:$AL$258), ""), 0)),"")</f>
        <v>39</v>
      </c>
      <c r="AQ43" s="30" t="str">
        <f>IFERROR(INDEX('G-7 WaterC'' Data'!$AZ$3:$AZ$7,MATCH(D43,'G-7 WaterC'' Data'!$AY$3:$AY$7,0)),"")</f>
        <v>Rivercond1</v>
      </c>
      <c r="AR43" s="30" t="str">
        <f>IFERROR(INDEX('G-7 WaterC'' Data'!AZ43:AZ47,MATCH(D43,'G-7 WaterC'' Data'!$AY$10:$AY$14,0)),"")</f>
        <v/>
      </c>
    </row>
    <row r="44" spans="3:44" ht="28.5" x14ac:dyDescent="0.2">
      <c r="C44" s="110">
        <v>35</v>
      </c>
      <c r="D44" s="338" t="s">
        <v>198</v>
      </c>
      <c r="E44" s="139">
        <v>0.10016464276554626</v>
      </c>
      <c r="F44" s="362" t="str">
        <f>IF(D44="","",VLOOKUP(D44,'G-7 WaterC'' Data'!$B$2:$G$8,2,FALSE))</f>
        <v>Medium</v>
      </c>
      <c r="G44" s="363">
        <f>IFERROR(VLOOKUP(F44,'G-7 WaterC'' Data'!$C$4:$D$8,2,FALSE),"")</f>
        <v>4</v>
      </c>
      <c r="H44" s="114" t="s">
        <v>329</v>
      </c>
      <c r="I44" s="363">
        <f>IFERROR(INDEX('G-7 WaterC'' Data'!$H$4:$L$8,MATCH(D44,'G-7 WaterC'' Data'!$B$4:$B$8,0),MATCH(H44,'G-7 WaterC'' Data'!$H$3:$L$3,0)),"")</f>
        <v>1</v>
      </c>
      <c r="J44" s="320" t="s">
        <v>1029</v>
      </c>
      <c r="K44" s="398" t="str">
        <f>IF(J44="","",IF(VLOOKUP(J44,'G-7 WaterC'' Data'!$AK$4:$AM$6,2,FALSE)=0,"Spatial Data Missing ⚠",VLOOKUP(J44,'G-7 WaterC'' Data'!$AK$4:$AM$6,2,FALSE)))</f>
        <v xml:space="preserve">High strategic significance </v>
      </c>
      <c r="L44" s="368">
        <f>IF(J44="","",IF(VLOOKUP(J44,'G-7 WaterC'' Data'!$AK$4:$AM$9,3,FALSE)=0,"Spatial Data Missing ⚠",VLOOKUP(J44,'G-7 WaterC'' Data'!$AK$4:$AM$6,3,FALSE)))</f>
        <v>1.1499999999999999</v>
      </c>
      <c r="M44" s="54" t="s">
        <v>1126</v>
      </c>
      <c r="N44" s="363">
        <f>IF(M44="","",IF(VLOOKUP(M44,'G-7 WaterC'' Data'!$AA$4:$AB$7,2,FALSE)=0,"Spatial Data Missing ⚠",VLOOKUP(M44,'G-7 WaterC'' Data'!$AA$4:$AB$7,2,FALSE)))</f>
        <v>1</v>
      </c>
      <c r="O44" s="60" t="s">
        <v>1127</v>
      </c>
      <c r="P44" s="363">
        <f>IF(O44="","",IF(VLOOKUP(O44,'G-7 WaterC'' Data'!$AD$4:$AE$14,2,FALSE)=0,"Spatial Data Missing ⚠",VLOOKUP(O44,'G-7 WaterC'' Data'!$AD$4:$AE$14,2,FALSE)))</f>
        <v>0.75</v>
      </c>
      <c r="Q44" s="369" t="str">
        <f>IF(D44="","",VLOOKUP(D44,'G-7 WaterC'' Data'!$B$2:$G$8,6,FALSE))</f>
        <v>Same habitat required =</v>
      </c>
      <c r="R44" s="376">
        <f>IFERROR(IF(D44="","",IF(AND(Q44='G-1 All Habitats'!$X$3,U44&gt;0),V44+W44,IF(AND(Q44='G-1 All Habitats'!$X$3,T44&gt;0),V44+W44,IF(AND(Q44='G-1 All Habitats'!$X$3,AD44&gt;0),"Any Loss Unacceptable ⚠",IF(AND(Q44='G-1 All Habitats'!$X$3,AE44&gt;0),"Any Loss Unacceptable ⚠", E44*G44*I44*L44*N44*P44 ))))),"Check Data ▲")</f>
        <v>0.34556801754113459</v>
      </c>
      <c r="S44" s="32"/>
      <c r="T44" s="114">
        <v>0</v>
      </c>
      <c r="U44" s="125">
        <v>0.10016464276554626</v>
      </c>
      <c r="V44" s="374">
        <f t="shared" si="0"/>
        <v>0</v>
      </c>
      <c r="W44" s="374">
        <f t="shared" si="1"/>
        <v>0.34556801754113459</v>
      </c>
      <c r="X44" s="374">
        <f t="shared" si="2"/>
        <v>0</v>
      </c>
      <c r="Y44" s="670">
        <f t="shared" si="3"/>
        <v>0</v>
      </c>
      <c r="Z44" s="706"/>
      <c r="AA44" s="704"/>
      <c r="AB44" s="120"/>
      <c r="AC44" s="120" t="s">
        <v>2036</v>
      </c>
      <c r="AD44" s="57" t="str">
        <f>IF(Q44="","",IF(Q44='G-1 All Habitats'!$X$3,E44-T44-U44,"None"))</f>
        <v>None</v>
      </c>
      <c r="AE44" s="58" t="str">
        <f>IF(Q44="","", IF(Q44='G-1 All Habitats'!$X$3, AD44*G44*I44*L44*N44*P44,"None"))</f>
        <v>None</v>
      </c>
      <c r="AH44" s="30">
        <f t="shared" si="4"/>
        <v>0</v>
      </c>
      <c r="AI44" s="124" t="b">
        <f t="shared" si="5"/>
        <v>0</v>
      </c>
      <c r="AJ44" s="124" t="b">
        <f t="shared" si="6"/>
        <v>1</v>
      </c>
      <c r="AL44" s="124">
        <v>35</v>
      </c>
      <c r="AN44" s="124" t="str">
        <f t="array" ref="AN44">IFERROR(INDEX($AL$10:$AL$258, MATCH(0, IF(TRUE=$AI$10:$AI$258, COUNTIF($AN$9:$AN43, $AL$10:$AL$258), ""), 0)),"")</f>
        <v/>
      </c>
      <c r="AO44" s="124">
        <f t="array" ref="AO44">IFERROR(INDEX($AL$10:$AL$258, MATCH(0, IF(TRUE=$AJ$10:$AJ$258, COUNTIF($AO$9:$AO43, $AL$10:$AL$258), ""), 0)),"")</f>
        <v>40</v>
      </c>
      <c r="AQ44" s="30" t="str">
        <f>IFERROR(INDEX('G-7 WaterC'' Data'!$AZ$3:$AZ$7,MATCH(D44,'G-7 WaterC'' Data'!$AY$3:$AY$7,0)),"")</f>
        <v>Rivercond1</v>
      </c>
      <c r="AR44" s="30" t="str">
        <f>IFERROR(INDEX('G-7 WaterC'' Data'!AZ44:AZ48,MATCH(D44,'G-7 WaterC'' Data'!$AY$10:$AY$14,0)),"")</f>
        <v/>
      </c>
    </row>
    <row r="45" spans="3:44" ht="28.5" x14ac:dyDescent="0.2">
      <c r="C45" s="110">
        <v>36</v>
      </c>
      <c r="D45" s="338" t="s">
        <v>198</v>
      </c>
      <c r="E45" s="139">
        <v>0.35987244057017564</v>
      </c>
      <c r="F45" s="362" t="str">
        <f>IF(D45="","",VLOOKUP(D45,'G-7 WaterC'' Data'!$B$2:$G$8,2,FALSE))</f>
        <v>Medium</v>
      </c>
      <c r="G45" s="363">
        <f>IFERROR(VLOOKUP(F45,'G-7 WaterC'' Data'!$C$4:$D$8,2,FALSE),"")</f>
        <v>4</v>
      </c>
      <c r="H45" s="114" t="s">
        <v>329</v>
      </c>
      <c r="I45" s="363">
        <f>IFERROR(INDEX('G-7 WaterC'' Data'!$H$4:$L$8,MATCH(D45,'G-7 WaterC'' Data'!$B$4:$B$8,0),MATCH(H45,'G-7 WaterC'' Data'!$H$3:$L$3,0)),"")</f>
        <v>1</v>
      </c>
      <c r="J45" s="320" t="s">
        <v>1037</v>
      </c>
      <c r="K45" s="398" t="str">
        <f>IF(J45="","",IF(VLOOKUP(J45,'G-7 WaterC'' Data'!$AK$4:$AM$6,2,FALSE)=0,"Spatial Data Missing ⚠",VLOOKUP(J45,'G-7 WaterC'' Data'!$AK$4:$AM$6,2,FALSE)))</f>
        <v>Low Strategic Significance</v>
      </c>
      <c r="L45" s="368">
        <f>IF(J45="","",IF(VLOOKUP(J45,'G-7 WaterC'' Data'!$AK$4:$AM$9,3,FALSE)=0,"Spatial Data Missing ⚠",VLOOKUP(J45,'G-7 WaterC'' Data'!$AK$4:$AM$6,3,FALSE)))</f>
        <v>1</v>
      </c>
      <c r="M45" s="54" t="s">
        <v>1126</v>
      </c>
      <c r="N45" s="363">
        <f>IF(M45="","",IF(VLOOKUP(M45,'G-7 WaterC'' Data'!$AA$4:$AB$7,2,FALSE)=0,"Spatial Data Missing ⚠",VLOOKUP(M45,'G-7 WaterC'' Data'!$AA$4:$AB$7,2,FALSE)))</f>
        <v>1</v>
      </c>
      <c r="O45" s="60" t="s">
        <v>1127</v>
      </c>
      <c r="P45" s="363">
        <f>IF(O45="","",IF(VLOOKUP(O45,'G-7 WaterC'' Data'!$AD$4:$AE$14,2,FALSE)=0,"Spatial Data Missing ⚠",VLOOKUP(O45,'G-7 WaterC'' Data'!$AD$4:$AE$14,2,FALSE)))</f>
        <v>0.75</v>
      </c>
      <c r="Q45" s="369" t="str">
        <f>IF(D45="","",VLOOKUP(D45,'G-7 WaterC'' Data'!$B$2:$G$8,6,FALSE))</f>
        <v>Same habitat required =</v>
      </c>
      <c r="R45" s="376">
        <f>IFERROR(IF(D45="","",IF(AND(Q45='G-1 All Habitats'!$X$3,U45&gt;0),V45+W45,IF(AND(Q45='G-1 All Habitats'!$X$3,T45&gt;0),V45+W45,IF(AND(Q45='G-1 All Habitats'!$X$3,AD45&gt;0),"Any Loss Unacceptable ⚠",IF(AND(Q45='G-1 All Habitats'!$X$3,AE45&gt;0),"Any Loss Unacceptable ⚠", E45*G45*I45*L45*N45*P45 ))))),"Check Data ▲")</f>
        <v>1.0796173217105269</v>
      </c>
      <c r="S45" s="32"/>
      <c r="T45" s="114">
        <v>0</v>
      </c>
      <c r="U45" s="125">
        <v>0.35987244057017564</v>
      </c>
      <c r="V45" s="374">
        <f t="shared" si="0"/>
        <v>0</v>
      </c>
      <c r="W45" s="374">
        <f t="shared" si="1"/>
        <v>1.0796173217105269</v>
      </c>
      <c r="X45" s="374">
        <f t="shared" si="2"/>
        <v>0</v>
      </c>
      <c r="Y45" s="670">
        <f t="shared" si="3"/>
        <v>0</v>
      </c>
      <c r="Z45" s="706"/>
      <c r="AA45" s="704"/>
      <c r="AB45" s="120"/>
      <c r="AC45" s="120" t="s">
        <v>2037</v>
      </c>
      <c r="AD45" s="57" t="str">
        <f>IF(Q45="","",IF(Q45='G-1 All Habitats'!$X$3,E45-T45-U45,"None"))</f>
        <v>None</v>
      </c>
      <c r="AE45" s="58" t="str">
        <f>IF(Q45="","", IF(Q45='G-1 All Habitats'!$X$3, AD45*G45*I45*L45*N45*P45,"None"))</f>
        <v>None</v>
      </c>
      <c r="AH45" s="30">
        <f t="shared" si="4"/>
        <v>0</v>
      </c>
      <c r="AI45" s="124" t="b">
        <f t="shared" si="5"/>
        <v>0</v>
      </c>
      <c r="AJ45" s="124" t="b">
        <f t="shared" si="6"/>
        <v>1</v>
      </c>
      <c r="AL45" s="124">
        <v>36</v>
      </c>
      <c r="AN45" s="124" t="str">
        <f t="array" ref="AN45">IFERROR(INDEX($AL$10:$AL$258, MATCH(0, IF(TRUE=$AI$10:$AI$258, COUNTIF($AN$9:$AN44, $AL$10:$AL$258), ""), 0)),"")</f>
        <v/>
      </c>
      <c r="AO45" s="124">
        <f t="array" ref="AO45">IFERROR(INDEX($AL$10:$AL$258, MATCH(0, IF(TRUE=$AJ$10:$AJ$258, COUNTIF($AO$9:$AO44, $AL$10:$AL$258), ""), 0)),"")</f>
        <v>41</v>
      </c>
      <c r="AQ45" s="30" t="str">
        <f>IFERROR(INDEX('G-7 WaterC'' Data'!$AZ$3:$AZ$7,MATCH(D45,'G-7 WaterC'' Data'!$AY$3:$AY$7,0)),"")</f>
        <v>Rivercond1</v>
      </c>
      <c r="AR45" s="30" t="str">
        <f>IFERROR(INDEX('G-7 WaterC'' Data'!AZ45:AZ49,MATCH(D45,'G-7 WaterC'' Data'!$AY$10:$AY$14,0)),"")</f>
        <v/>
      </c>
    </row>
    <row r="46" spans="3:44" ht="28.5" x14ac:dyDescent="0.2">
      <c r="C46" s="110">
        <v>37</v>
      </c>
      <c r="D46" s="338" t="s">
        <v>198</v>
      </c>
      <c r="E46" s="139">
        <v>6.7385369603486719E-2</v>
      </c>
      <c r="F46" s="362" t="str">
        <f>IF(D46="","",VLOOKUP(D46,'G-7 WaterC'' Data'!$B$2:$G$8,2,FALSE))</f>
        <v>Medium</v>
      </c>
      <c r="G46" s="363">
        <f>IFERROR(VLOOKUP(F46,'G-7 WaterC'' Data'!$C$4:$D$8,2,FALSE),"")</f>
        <v>4</v>
      </c>
      <c r="H46" s="114" t="s">
        <v>329</v>
      </c>
      <c r="I46" s="363">
        <f>IFERROR(INDEX('G-7 WaterC'' Data'!$H$4:$L$8,MATCH(D46,'G-7 WaterC'' Data'!$B$4:$B$8,0),MATCH(H46,'G-7 WaterC'' Data'!$H$3:$L$3,0)),"")</f>
        <v>1</v>
      </c>
      <c r="J46" s="320" t="s">
        <v>1029</v>
      </c>
      <c r="K46" s="398" t="str">
        <f>IF(J46="","",IF(VLOOKUP(J46,'G-7 WaterC'' Data'!$AK$4:$AM$6,2,FALSE)=0,"Spatial Data Missing ⚠",VLOOKUP(J46,'G-7 WaterC'' Data'!$AK$4:$AM$6,2,FALSE)))</f>
        <v xml:space="preserve">High strategic significance </v>
      </c>
      <c r="L46" s="368">
        <f>IF(J46="","",IF(VLOOKUP(J46,'G-7 WaterC'' Data'!$AK$4:$AM$9,3,FALSE)=0,"Spatial Data Missing ⚠",VLOOKUP(J46,'G-7 WaterC'' Data'!$AK$4:$AM$6,3,FALSE)))</f>
        <v>1.1499999999999999</v>
      </c>
      <c r="M46" s="54" t="s">
        <v>1126</v>
      </c>
      <c r="N46" s="363">
        <f>IF(M46="","",IF(VLOOKUP(M46,'G-7 WaterC'' Data'!$AA$4:$AB$7,2,FALSE)=0,"Spatial Data Missing ⚠",VLOOKUP(M46,'G-7 WaterC'' Data'!$AA$4:$AB$7,2,FALSE)))</f>
        <v>1</v>
      </c>
      <c r="O46" s="60" t="s">
        <v>1127</v>
      </c>
      <c r="P46" s="363">
        <f>IF(O46="","",IF(VLOOKUP(O46,'G-7 WaterC'' Data'!$AD$4:$AE$14,2,FALSE)=0,"Spatial Data Missing ⚠",VLOOKUP(O46,'G-7 WaterC'' Data'!$AD$4:$AE$14,2,FALSE)))</f>
        <v>0.75</v>
      </c>
      <c r="Q46" s="369" t="str">
        <f>IF(D46="","",VLOOKUP(D46,'G-7 WaterC'' Data'!$B$2:$G$8,6,FALSE))</f>
        <v>Same habitat required =</v>
      </c>
      <c r="R46" s="376">
        <f>IFERROR(IF(D46="","",IF(AND(Q46='G-1 All Habitats'!$X$3,U46&gt;0),V46+W46,IF(AND(Q46='G-1 All Habitats'!$X$3,T46&gt;0),V46+W46,IF(AND(Q46='G-1 All Habitats'!$X$3,AD46&gt;0),"Any Loss Unacceptable ⚠",IF(AND(Q46='G-1 All Habitats'!$X$3,AE46&gt;0),"Any Loss Unacceptable ⚠", E46*G46*I46*L46*N46*P46 ))))),"Check Data ▲")</f>
        <v>0.23247952513202919</v>
      </c>
      <c r="S46" s="32"/>
      <c r="T46" s="114">
        <v>0</v>
      </c>
      <c r="U46" s="125">
        <v>6.7385369603486719E-2</v>
      </c>
      <c r="V46" s="374">
        <f t="shared" si="0"/>
        <v>0</v>
      </c>
      <c r="W46" s="374">
        <f t="shared" si="1"/>
        <v>0.23247952513202919</v>
      </c>
      <c r="X46" s="374">
        <f t="shared" si="2"/>
        <v>0</v>
      </c>
      <c r="Y46" s="670">
        <f t="shared" si="3"/>
        <v>0</v>
      </c>
      <c r="Z46" s="706"/>
      <c r="AA46" s="704"/>
      <c r="AB46" s="120"/>
      <c r="AC46" s="120" t="s">
        <v>2038</v>
      </c>
      <c r="AD46" s="57" t="str">
        <f>IF(Q46="","",IF(Q46='G-1 All Habitats'!$X$3,E46-T46-U46,"None"))</f>
        <v>None</v>
      </c>
      <c r="AE46" s="58" t="str">
        <f>IF(Q46="","", IF(Q46='G-1 All Habitats'!$X$3, AD46*G46*I46*L46*N46*P46,"None"))</f>
        <v>None</v>
      </c>
      <c r="AH46" s="30">
        <f t="shared" si="4"/>
        <v>0</v>
      </c>
      <c r="AI46" s="124" t="b">
        <f t="shared" si="5"/>
        <v>0</v>
      </c>
      <c r="AJ46" s="124" t="b">
        <f t="shared" si="6"/>
        <v>1</v>
      </c>
      <c r="AL46" s="124">
        <v>37</v>
      </c>
      <c r="AN46" s="124" t="str">
        <f t="array" ref="AN46">IFERROR(INDEX($AL$10:$AL$258, MATCH(0, IF(TRUE=$AI$10:$AI$258, COUNTIF($AN$9:$AN45, $AL$10:$AL$258), ""), 0)),"")</f>
        <v/>
      </c>
      <c r="AO46" s="124">
        <f t="array" ref="AO46">IFERROR(INDEX($AL$10:$AL$258, MATCH(0, IF(TRUE=$AJ$10:$AJ$258, COUNTIF($AO$9:$AO45, $AL$10:$AL$258), ""), 0)),"")</f>
        <v>42</v>
      </c>
      <c r="AQ46" s="30" t="str">
        <f>IFERROR(INDEX('G-7 WaterC'' Data'!$AZ$3:$AZ$7,MATCH(D46,'G-7 WaterC'' Data'!$AY$3:$AY$7,0)),"")</f>
        <v>Rivercond1</v>
      </c>
      <c r="AR46" s="30" t="str">
        <f>IFERROR(INDEX('G-7 WaterC'' Data'!AZ46:AZ50,MATCH(D46,'G-7 WaterC'' Data'!$AY$10:$AY$14,0)),"")</f>
        <v/>
      </c>
    </row>
    <row r="47" spans="3:44" ht="28.5" x14ac:dyDescent="0.2">
      <c r="C47" s="110">
        <v>38</v>
      </c>
      <c r="D47" s="338" t="s">
        <v>198</v>
      </c>
      <c r="E47" s="139">
        <v>0.41280346129547063</v>
      </c>
      <c r="F47" s="362" t="str">
        <f>IF(D47="","",VLOOKUP(D47,'G-7 WaterC'' Data'!$B$2:$G$8,2,FALSE))</f>
        <v>Medium</v>
      </c>
      <c r="G47" s="363">
        <f>IFERROR(VLOOKUP(F47,'G-7 WaterC'' Data'!$C$4:$D$8,2,FALSE),"")</f>
        <v>4</v>
      </c>
      <c r="H47" s="114" t="s">
        <v>329</v>
      </c>
      <c r="I47" s="363">
        <f>IFERROR(INDEX('G-7 WaterC'' Data'!$H$4:$L$8,MATCH(D47,'G-7 WaterC'' Data'!$B$4:$B$8,0),MATCH(H47,'G-7 WaterC'' Data'!$H$3:$L$3,0)),"")</f>
        <v>1</v>
      </c>
      <c r="J47" s="320" t="s">
        <v>1037</v>
      </c>
      <c r="K47" s="398" t="str">
        <f>IF(J47="","",IF(VLOOKUP(J47,'G-7 WaterC'' Data'!$AK$4:$AM$6,2,FALSE)=0,"Spatial Data Missing ⚠",VLOOKUP(J47,'G-7 WaterC'' Data'!$AK$4:$AM$6,2,FALSE)))</f>
        <v>Low Strategic Significance</v>
      </c>
      <c r="L47" s="368">
        <f>IF(J47="","",IF(VLOOKUP(J47,'G-7 WaterC'' Data'!$AK$4:$AM$9,3,FALSE)=0,"Spatial Data Missing ⚠",VLOOKUP(J47,'G-7 WaterC'' Data'!$AK$4:$AM$6,3,FALSE)))</f>
        <v>1</v>
      </c>
      <c r="M47" s="54" t="s">
        <v>1126</v>
      </c>
      <c r="N47" s="363">
        <f>IF(M47="","",IF(VLOOKUP(M47,'G-7 WaterC'' Data'!$AA$4:$AB$7,2,FALSE)=0,"Spatial Data Missing ⚠",VLOOKUP(M47,'G-7 WaterC'' Data'!$AA$4:$AB$7,2,FALSE)))</f>
        <v>1</v>
      </c>
      <c r="O47" s="60" t="s">
        <v>1127</v>
      </c>
      <c r="P47" s="363">
        <f>IF(O47="","",IF(VLOOKUP(O47,'G-7 WaterC'' Data'!$AD$4:$AE$14,2,FALSE)=0,"Spatial Data Missing ⚠",VLOOKUP(O47,'G-7 WaterC'' Data'!$AD$4:$AE$14,2,FALSE)))</f>
        <v>0.75</v>
      </c>
      <c r="Q47" s="369" t="str">
        <f>IF(D47="","",VLOOKUP(D47,'G-7 WaterC'' Data'!$B$2:$G$8,6,FALSE))</f>
        <v>Same habitat required =</v>
      </c>
      <c r="R47" s="376">
        <f>IFERROR(IF(D47="","",IF(AND(Q47='G-1 All Habitats'!$X$3,U47&gt;0),V47+W47,IF(AND(Q47='G-1 All Habitats'!$X$3,T47&gt;0),V47+W47,IF(AND(Q47='G-1 All Habitats'!$X$3,AD47&gt;0),"Any Loss Unacceptable ⚠",IF(AND(Q47='G-1 All Habitats'!$X$3,AE47&gt;0),"Any Loss Unacceptable ⚠", E47*G47*I47*L47*N47*P47 ))))),"Check Data ▲")</f>
        <v>1.238410383886412</v>
      </c>
      <c r="S47" s="32"/>
      <c r="T47" s="114">
        <v>0</v>
      </c>
      <c r="U47" s="125">
        <v>0.41280346129547063</v>
      </c>
      <c r="V47" s="374">
        <f t="shared" si="0"/>
        <v>0</v>
      </c>
      <c r="W47" s="374">
        <f t="shared" si="1"/>
        <v>1.238410383886412</v>
      </c>
      <c r="X47" s="374">
        <f t="shared" si="2"/>
        <v>0</v>
      </c>
      <c r="Y47" s="670">
        <f t="shared" si="3"/>
        <v>0</v>
      </c>
      <c r="Z47" s="706"/>
      <c r="AA47" s="704"/>
      <c r="AB47" s="120"/>
      <c r="AC47" s="120" t="s">
        <v>2039</v>
      </c>
      <c r="AD47" s="57" t="str">
        <f>IF(Q47="","",IF(Q47='G-1 All Habitats'!$X$3,E47-T47-U47,"None"))</f>
        <v>None</v>
      </c>
      <c r="AE47" s="58" t="str">
        <f>IF(Q47="","", IF(Q47='G-1 All Habitats'!$X$3, AD47*G47*I47*L47*N47*P47,"None"))</f>
        <v>None</v>
      </c>
      <c r="AH47" s="30">
        <f t="shared" si="4"/>
        <v>0</v>
      </c>
      <c r="AI47" s="124" t="b">
        <f t="shared" si="5"/>
        <v>0</v>
      </c>
      <c r="AJ47" s="124" t="b">
        <f t="shared" si="6"/>
        <v>1</v>
      </c>
      <c r="AL47" s="124">
        <v>38</v>
      </c>
      <c r="AN47" s="124" t="str">
        <f t="array" ref="AN47">IFERROR(INDEX($AL$10:$AL$258, MATCH(0, IF(TRUE=$AI$10:$AI$258, COUNTIF($AN$9:$AN46, $AL$10:$AL$258), ""), 0)),"")</f>
        <v/>
      </c>
      <c r="AO47" s="124">
        <f t="array" ref="AO47">IFERROR(INDEX($AL$10:$AL$258, MATCH(0, IF(TRUE=$AJ$10:$AJ$258, COUNTIF($AO$9:$AO46, $AL$10:$AL$258), ""), 0)),"")</f>
        <v>43</v>
      </c>
      <c r="AQ47" s="30" t="str">
        <f>IFERROR(INDEX('G-7 WaterC'' Data'!$AZ$3:$AZ$7,MATCH(D47,'G-7 WaterC'' Data'!$AY$3:$AY$7,0)),"")</f>
        <v>Rivercond1</v>
      </c>
      <c r="AR47" s="30" t="str">
        <f>IFERROR(INDEX('G-7 WaterC'' Data'!AZ47:AZ51,MATCH(D47,'G-7 WaterC'' Data'!$AY$10:$AY$14,0)),"")</f>
        <v/>
      </c>
    </row>
    <row r="48" spans="3:44" ht="28.5" x14ac:dyDescent="0.2">
      <c r="C48" s="110">
        <v>39</v>
      </c>
      <c r="D48" s="338" t="s">
        <v>198</v>
      </c>
      <c r="E48" s="139">
        <v>0.11896769908991632</v>
      </c>
      <c r="F48" s="362" t="str">
        <f>IF(D48="","",VLOOKUP(D48,'G-7 WaterC'' Data'!$B$2:$G$8,2,FALSE))</f>
        <v>Medium</v>
      </c>
      <c r="G48" s="363">
        <f>IFERROR(VLOOKUP(F48,'G-7 WaterC'' Data'!$C$4:$D$8,2,FALSE),"")</f>
        <v>4</v>
      </c>
      <c r="H48" s="114" t="s">
        <v>329</v>
      </c>
      <c r="I48" s="363">
        <f>IFERROR(INDEX('G-7 WaterC'' Data'!$H$4:$L$8,MATCH(D48,'G-7 WaterC'' Data'!$B$4:$B$8,0),MATCH(H48,'G-7 WaterC'' Data'!$H$3:$L$3,0)),"")</f>
        <v>1</v>
      </c>
      <c r="J48" s="320" t="s">
        <v>1037</v>
      </c>
      <c r="K48" s="398" t="str">
        <f>IF(J48="","",IF(VLOOKUP(J48,'G-7 WaterC'' Data'!$AK$4:$AM$6,2,FALSE)=0,"Spatial Data Missing ⚠",VLOOKUP(J48,'G-7 WaterC'' Data'!$AK$4:$AM$6,2,FALSE)))</f>
        <v>Low Strategic Significance</v>
      </c>
      <c r="L48" s="368">
        <f>IF(J48="","",IF(VLOOKUP(J48,'G-7 WaterC'' Data'!$AK$4:$AM$9,3,FALSE)=0,"Spatial Data Missing ⚠",VLOOKUP(J48,'G-7 WaterC'' Data'!$AK$4:$AM$6,3,FALSE)))</f>
        <v>1</v>
      </c>
      <c r="M48" s="54" t="s">
        <v>1126</v>
      </c>
      <c r="N48" s="363">
        <f>IF(M48="","",IF(VLOOKUP(M48,'G-7 WaterC'' Data'!$AA$4:$AB$7,2,FALSE)=0,"Spatial Data Missing ⚠",VLOOKUP(M48,'G-7 WaterC'' Data'!$AA$4:$AB$7,2,FALSE)))</f>
        <v>1</v>
      </c>
      <c r="O48" s="60" t="s">
        <v>1127</v>
      </c>
      <c r="P48" s="363">
        <f>IF(O48="","",IF(VLOOKUP(O48,'G-7 WaterC'' Data'!$AD$4:$AE$14,2,FALSE)=0,"Spatial Data Missing ⚠",VLOOKUP(O48,'G-7 WaterC'' Data'!$AD$4:$AE$14,2,FALSE)))</f>
        <v>0.75</v>
      </c>
      <c r="Q48" s="369" t="str">
        <f>IF(D48="","",VLOOKUP(D48,'G-7 WaterC'' Data'!$B$2:$G$8,6,FALSE))</f>
        <v>Same habitat required =</v>
      </c>
      <c r="R48" s="376">
        <f>IFERROR(IF(D48="","",IF(AND(Q48='G-1 All Habitats'!$X$3,U48&gt;0),V48+W48,IF(AND(Q48='G-1 All Habitats'!$X$3,T48&gt;0),V48+W48,IF(AND(Q48='G-1 All Habitats'!$X$3,AD48&gt;0),"Any Loss Unacceptable ⚠",IF(AND(Q48='G-1 All Habitats'!$X$3,AE48&gt;0),"Any Loss Unacceptable ⚠", E48*G48*I48*L48*N48*P48 ))))),"Check Data ▲")</f>
        <v>0.35690309726974895</v>
      </c>
      <c r="S48" s="32"/>
      <c r="T48" s="114">
        <v>0</v>
      </c>
      <c r="U48" s="125">
        <v>0.11896769908991632</v>
      </c>
      <c r="V48" s="374">
        <f t="shared" si="0"/>
        <v>0</v>
      </c>
      <c r="W48" s="374">
        <f t="shared" si="1"/>
        <v>0.35690309726974895</v>
      </c>
      <c r="X48" s="374">
        <f t="shared" si="2"/>
        <v>0</v>
      </c>
      <c r="Y48" s="670">
        <f t="shared" si="3"/>
        <v>0</v>
      </c>
      <c r="Z48" s="706"/>
      <c r="AA48" s="704"/>
      <c r="AB48" s="120"/>
      <c r="AC48" s="120" t="s">
        <v>2040</v>
      </c>
      <c r="AD48" s="57" t="str">
        <f>IF(Q48="","",IF(Q48='G-1 All Habitats'!$X$3,E48-T48-U48,"None"))</f>
        <v>None</v>
      </c>
      <c r="AE48" s="58" t="str">
        <f>IF(Q48="","", IF(Q48='G-1 All Habitats'!$X$3, AD48*G48*I48*L48*N48*P48,"None"))</f>
        <v>None</v>
      </c>
      <c r="AH48" s="30">
        <f t="shared" si="4"/>
        <v>0</v>
      </c>
      <c r="AI48" s="124" t="b">
        <f t="shared" si="5"/>
        <v>0</v>
      </c>
      <c r="AJ48" s="124" t="b">
        <f t="shared" si="6"/>
        <v>1</v>
      </c>
      <c r="AL48" s="124">
        <v>39</v>
      </c>
      <c r="AN48" s="124" t="str">
        <f t="array" ref="AN48">IFERROR(INDEX($AL$10:$AL$258, MATCH(0, IF(TRUE=$AI$10:$AI$258, COUNTIF($AN$9:$AN47, $AL$10:$AL$258), ""), 0)),"")</f>
        <v/>
      </c>
      <c r="AO48" s="124">
        <f t="array" ref="AO48">IFERROR(INDEX($AL$10:$AL$258, MATCH(0, IF(TRUE=$AJ$10:$AJ$258, COUNTIF($AO$9:$AO47, $AL$10:$AL$258), ""), 0)),"")</f>
        <v>44</v>
      </c>
      <c r="AQ48" s="30" t="str">
        <f>IFERROR(INDEX('G-7 WaterC'' Data'!$AZ$3:$AZ$7,MATCH(D48,'G-7 WaterC'' Data'!$AY$3:$AY$7,0)),"")</f>
        <v>Rivercond1</v>
      </c>
      <c r="AR48" s="30" t="str">
        <f>IFERROR(INDEX('G-7 WaterC'' Data'!AZ48:AZ52,MATCH(D48,'G-7 WaterC'' Data'!$AY$10:$AY$14,0)),"")</f>
        <v/>
      </c>
    </row>
    <row r="49" spans="3:44" ht="28.5" x14ac:dyDescent="0.2">
      <c r="C49" s="110">
        <v>40</v>
      </c>
      <c r="D49" s="338" t="s">
        <v>198</v>
      </c>
      <c r="E49" s="139">
        <v>0.46007503949831463</v>
      </c>
      <c r="F49" s="362" t="str">
        <f>IF(D49="","",VLOOKUP(D49,'G-7 WaterC'' Data'!$B$2:$G$8,2,FALSE))</f>
        <v>Medium</v>
      </c>
      <c r="G49" s="363">
        <f>IFERROR(VLOOKUP(F49,'G-7 WaterC'' Data'!$C$4:$D$8,2,FALSE),"")</f>
        <v>4</v>
      </c>
      <c r="H49" s="114" t="s">
        <v>329</v>
      </c>
      <c r="I49" s="363">
        <f>IFERROR(INDEX('G-7 WaterC'' Data'!$H$4:$L$8,MATCH(D49,'G-7 WaterC'' Data'!$B$4:$B$8,0),MATCH(H49,'G-7 WaterC'' Data'!$H$3:$L$3,0)),"")</f>
        <v>1</v>
      </c>
      <c r="J49" s="320" t="s">
        <v>1037</v>
      </c>
      <c r="K49" s="398" t="str">
        <f>IF(J49="","",IF(VLOOKUP(J49,'G-7 WaterC'' Data'!$AK$4:$AM$6,2,FALSE)=0,"Spatial Data Missing ⚠",VLOOKUP(J49,'G-7 WaterC'' Data'!$AK$4:$AM$6,2,FALSE)))</f>
        <v>Low Strategic Significance</v>
      </c>
      <c r="L49" s="368">
        <f>IF(J49="","",IF(VLOOKUP(J49,'G-7 WaterC'' Data'!$AK$4:$AM$9,3,FALSE)=0,"Spatial Data Missing ⚠",VLOOKUP(J49,'G-7 WaterC'' Data'!$AK$4:$AM$6,3,FALSE)))</f>
        <v>1</v>
      </c>
      <c r="M49" s="54" t="s">
        <v>1126</v>
      </c>
      <c r="N49" s="363">
        <f>IF(M49="","",IF(VLOOKUP(M49,'G-7 WaterC'' Data'!$AA$4:$AB$7,2,FALSE)=0,"Spatial Data Missing ⚠",VLOOKUP(M49,'G-7 WaterC'' Data'!$AA$4:$AB$7,2,FALSE)))</f>
        <v>1</v>
      </c>
      <c r="O49" s="60" t="s">
        <v>1127</v>
      </c>
      <c r="P49" s="363">
        <f>IF(O49="","",IF(VLOOKUP(O49,'G-7 WaterC'' Data'!$AD$4:$AE$14,2,FALSE)=0,"Spatial Data Missing ⚠",VLOOKUP(O49,'G-7 WaterC'' Data'!$AD$4:$AE$14,2,FALSE)))</f>
        <v>0.75</v>
      </c>
      <c r="Q49" s="369" t="str">
        <f>IF(D49="","",VLOOKUP(D49,'G-7 WaterC'' Data'!$B$2:$G$8,6,FALSE))</f>
        <v>Same habitat required =</v>
      </c>
      <c r="R49" s="376">
        <f>IFERROR(IF(D49="","",IF(AND(Q49='G-1 All Habitats'!$X$3,U49&gt;0),V49+W49,IF(AND(Q49='G-1 All Habitats'!$X$3,T49&gt;0),V49+W49,IF(AND(Q49='G-1 All Habitats'!$X$3,AD49&gt;0),"Any Loss Unacceptable ⚠",IF(AND(Q49='G-1 All Habitats'!$X$3,AE49&gt;0),"Any Loss Unacceptable ⚠", E49*G49*I49*L49*N49*P49 ))))),"Check Data ▲")</f>
        <v>1.3802251184949439</v>
      </c>
      <c r="S49" s="32"/>
      <c r="T49" s="114">
        <v>0</v>
      </c>
      <c r="U49" s="125">
        <v>0.46007503949831463</v>
      </c>
      <c r="V49" s="374">
        <f t="shared" si="0"/>
        <v>0</v>
      </c>
      <c r="W49" s="374">
        <f t="shared" si="1"/>
        <v>1.3802251184949439</v>
      </c>
      <c r="X49" s="374">
        <f t="shared" si="2"/>
        <v>0</v>
      </c>
      <c r="Y49" s="670">
        <f t="shared" si="3"/>
        <v>0</v>
      </c>
      <c r="Z49" s="706"/>
      <c r="AA49" s="704"/>
      <c r="AB49" s="120"/>
      <c r="AC49" s="120" t="s">
        <v>2041</v>
      </c>
      <c r="AD49" s="57" t="str">
        <f>IF(Q49="","",IF(Q49='G-1 All Habitats'!$X$3,E49-T49-U49,"None"))</f>
        <v>None</v>
      </c>
      <c r="AE49" s="58" t="str">
        <f>IF(Q49="","", IF(Q49='G-1 All Habitats'!$X$3, AD49*G49*I49*L49*N49*P49,"None"))</f>
        <v>None</v>
      </c>
      <c r="AH49" s="30">
        <f t="shared" si="4"/>
        <v>0</v>
      </c>
      <c r="AI49" s="124" t="b">
        <f t="shared" si="5"/>
        <v>0</v>
      </c>
      <c r="AJ49" s="124" t="b">
        <f t="shared" si="6"/>
        <v>1</v>
      </c>
      <c r="AL49" s="124">
        <v>40</v>
      </c>
      <c r="AN49" s="124" t="str">
        <f t="array" ref="AN49">IFERROR(INDEX($AL$10:$AL$258, MATCH(0, IF(TRUE=$AI$10:$AI$258, COUNTIF($AN$9:$AN48, $AL$10:$AL$258), ""), 0)),"")</f>
        <v/>
      </c>
      <c r="AO49" s="124">
        <f t="array" ref="AO49">IFERROR(INDEX($AL$10:$AL$258, MATCH(0, IF(TRUE=$AJ$10:$AJ$258, COUNTIF($AO$9:$AO48, $AL$10:$AL$258), ""), 0)),"")</f>
        <v>45</v>
      </c>
      <c r="AQ49" s="30" t="str">
        <f>IFERROR(INDEX('G-7 WaterC'' Data'!$AZ$3:$AZ$7,MATCH(D49,'G-7 WaterC'' Data'!$AY$3:$AY$7,0)),"")</f>
        <v>Rivercond1</v>
      </c>
      <c r="AR49" s="30" t="str">
        <f>IFERROR(INDEX('G-7 WaterC'' Data'!AZ49:AZ53,MATCH(D49,'G-7 WaterC'' Data'!$AY$10:$AY$14,0)),"")</f>
        <v/>
      </c>
    </row>
    <row r="50" spans="3:44" ht="28.5" x14ac:dyDescent="0.2">
      <c r="C50" s="110">
        <v>41</v>
      </c>
      <c r="D50" s="338" t="s">
        <v>198</v>
      </c>
      <c r="E50" s="139">
        <v>4.6576625762999167E-2</v>
      </c>
      <c r="F50" s="362" t="str">
        <f>IF(D50="","",VLOOKUP(D50,'G-7 WaterC'' Data'!$B$2:$G$8,2,FALSE))</f>
        <v>Medium</v>
      </c>
      <c r="G50" s="363">
        <f>IFERROR(VLOOKUP(F50,'G-7 WaterC'' Data'!$C$4:$D$8,2,FALSE),"")</f>
        <v>4</v>
      </c>
      <c r="H50" s="114" t="s">
        <v>329</v>
      </c>
      <c r="I50" s="363">
        <f>IFERROR(INDEX('G-7 WaterC'' Data'!$H$4:$L$8,MATCH(D50,'G-7 WaterC'' Data'!$B$4:$B$8,0),MATCH(H50,'G-7 WaterC'' Data'!$H$3:$L$3,0)),"")</f>
        <v>1</v>
      </c>
      <c r="J50" s="320" t="s">
        <v>1029</v>
      </c>
      <c r="K50" s="398" t="str">
        <f>IF(J50="","",IF(VLOOKUP(J50,'G-7 WaterC'' Data'!$AK$4:$AM$6,2,FALSE)=0,"Spatial Data Missing ⚠",VLOOKUP(J50,'G-7 WaterC'' Data'!$AK$4:$AM$6,2,FALSE)))</f>
        <v xml:space="preserve">High strategic significance </v>
      </c>
      <c r="L50" s="368">
        <f>IF(J50="","",IF(VLOOKUP(J50,'G-7 WaterC'' Data'!$AK$4:$AM$9,3,FALSE)=0,"Spatial Data Missing ⚠",VLOOKUP(J50,'G-7 WaterC'' Data'!$AK$4:$AM$6,3,FALSE)))</f>
        <v>1.1499999999999999</v>
      </c>
      <c r="M50" s="54" t="s">
        <v>1126</v>
      </c>
      <c r="N50" s="363">
        <f>IF(M50="","",IF(VLOOKUP(M50,'G-7 WaterC'' Data'!$AA$4:$AB$7,2,FALSE)=0,"Spatial Data Missing ⚠",VLOOKUP(M50,'G-7 WaterC'' Data'!$AA$4:$AB$7,2,FALSE)))</f>
        <v>1</v>
      </c>
      <c r="O50" s="60" t="s">
        <v>1127</v>
      </c>
      <c r="P50" s="363">
        <f>IF(O50="","",IF(VLOOKUP(O50,'G-7 WaterC'' Data'!$AD$4:$AE$14,2,FALSE)=0,"Spatial Data Missing ⚠",VLOOKUP(O50,'G-7 WaterC'' Data'!$AD$4:$AE$14,2,FALSE)))</f>
        <v>0.75</v>
      </c>
      <c r="Q50" s="369" t="str">
        <f>IF(D50="","",VLOOKUP(D50,'G-7 WaterC'' Data'!$B$2:$G$8,6,FALSE))</f>
        <v>Same habitat required =</v>
      </c>
      <c r="R50" s="376">
        <f>IFERROR(IF(D50="","",IF(AND(Q50='G-1 All Habitats'!$X$3,U50&gt;0),V50+W50,IF(AND(Q50='G-1 All Habitats'!$X$3,T50&gt;0),V50+W50,IF(AND(Q50='G-1 All Habitats'!$X$3,AD50&gt;0),"Any Loss Unacceptable ⚠",IF(AND(Q50='G-1 All Habitats'!$X$3,AE50&gt;0),"Any Loss Unacceptable ⚠", E50*G50*I50*L50*N50*P50 ))))),"Check Data ▲")</f>
        <v>0.16068935888234712</v>
      </c>
      <c r="S50" s="32"/>
      <c r="T50" s="114">
        <v>0</v>
      </c>
      <c r="U50" s="125">
        <v>4.6576625762999167E-2</v>
      </c>
      <c r="V50" s="374">
        <f t="shared" si="0"/>
        <v>0</v>
      </c>
      <c r="W50" s="374">
        <f t="shared" si="1"/>
        <v>0.16068935888234712</v>
      </c>
      <c r="X50" s="374">
        <f t="shared" si="2"/>
        <v>0</v>
      </c>
      <c r="Y50" s="670">
        <f t="shared" si="3"/>
        <v>0</v>
      </c>
      <c r="Z50" s="706"/>
      <c r="AA50" s="704"/>
      <c r="AB50" s="120"/>
      <c r="AC50" s="120" t="s">
        <v>2042</v>
      </c>
      <c r="AD50" s="57" t="str">
        <f>IF(Q50="","",IF(Q50='G-1 All Habitats'!$X$3,E50-T50-U50,"None"))</f>
        <v>None</v>
      </c>
      <c r="AE50" s="58" t="str">
        <f>IF(Q50="","", IF(Q50='G-1 All Habitats'!$X$3, AD50*G50*I50*L50*N50*P50,"None"))</f>
        <v>None</v>
      </c>
      <c r="AH50" s="30">
        <f t="shared" si="4"/>
        <v>0</v>
      </c>
      <c r="AI50" s="124" t="b">
        <f t="shared" si="5"/>
        <v>0</v>
      </c>
      <c r="AJ50" s="124" t="b">
        <f t="shared" si="6"/>
        <v>1</v>
      </c>
      <c r="AL50" s="124">
        <v>41</v>
      </c>
      <c r="AN50" s="124" t="str">
        <f t="array" ref="AN50">IFERROR(INDEX($AL$10:$AL$258, MATCH(0, IF(TRUE=$AI$10:$AI$258, COUNTIF($AN$9:$AN49, $AL$10:$AL$258), ""), 0)),"")</f>
        <v/>
      </c>
      <c r="AO50" s="124">
        <f t="array" ref="AO50">IFERROR(INDEX($AL$10:$AL$258, MATCH(0, IF(TRUE=$AJ$10:$AJ$258, COUNTIF($AO$9:$AO49, $AL$10:$AL$258), ""), 0)),"")</f>
        <v>46</v>
      </c>
      <c r="AQ50" s="30" t="str">
        <f>IFERROR(INDEX('G-7 WaterC'' Data'!$AZ$3:$AZ$7,MATCH(D50,'G-7 WaterC'' Data'!$AY$3:$AY$7,0)),"")</f>
        <v>Rivercond1</v>
      </c>
      <c r="AR50" s="30" t="str">
        <f>IFERROR(INDEX('G-7 WaterC'' Data'!AZ50:AZ54,MATCH(D50,'G-7 WaterC'' Data'!$AY$10:$AY$14,0)),"")</f>
        <v/>
      </c>
    </row>
    <row r="51" spans="3:44" ht="28.5" x14ac:dyDescent="0.2">
      <c r="C51" s="110">
        <v>42</v>
      </c>
      <c r="D51" s="338" t="s">
        <v>198</v>
      </c>
      <c r="E51" s="139">
        <v>0.30979730686457374</v>
      </c>
      <c r="F51" s="362" t="str">
        <f>IF(D51="","",VLOOKUP(D51,'G-7 WaterC'' Data'!$B$2:$G$8,2,FALSE))</f>
        <v>Medium</v>
      </c>
      <c r="G51" s="363">
        <f>IFERROR(VLOOKUP(F51,'G-7 WaterC'' Data'!$C$4:$D$8,2,FALSE),"")</f>
        <v>4</v>
      </c>
      <c r="H51" s="114" t="s">
        <v>329</v>
      </c>
      <c r="I51" s="363">
        <f>IFERROR(INDEX('G-7 WaterC'' Data'!$H$4:$L$8,MATCH(D51,'G-7 WaterC'' Data'!$B$4:$B$8,0),MATCH(H51,'G-7 WaterC'' Data'!$H$3:$L$3,0)),"")</f>
        <v>1</v>
      </c>
      <c r="J51" s="320" t="s">
        <v>1037</v>
      </c>
      <c r="K51" s="398" t="str">
        <f>IF(J51="","",IF(VLOOKUP(J51,'G-7 WaterC'' Data'!$AK$4:$AM$6,2,FALSE)=0,"Spatial Data Missing ⚠",VLOOKUP(J51,'G-7 WaterC'' Data'!$AK$4:$AM$6,2,FALSE)))</f>
        <v>Low Strategic Significance</v>
      </c>
      <c r="L51" s="368">
        <f>IF(J51="","",IF(VLOOKUP(J51,'G-7 WaterC'' Data'!$AK$4:$AM$9,3,FALSE)=0,"Spatial Data Missing ⚠",VLOOKUP(J51,'G-7 WaterC'' Data'!$AK$4:$AM$6,3,FALSE)))</f>
        <v>1</v>
      </c>
      <c r="M51" s="54" t="s">
        <v>1126</v>
      </c>
      <c r="N51" s="363">
        <f>IF(M51="","",IF(VLOOKUP(M51,'G-7 WaterC'' Data'!$AA$4:$AB$7,2,FALSE)=0,"Spatial Data Missing ⚠",VLOOKUP(M51,'G-7 WaterC'' Data'!$AA$4:$AB$7,2,FALSE)))</f>
        <v>1</v>
      </c>
      <c r="O51" s="60" t="s">
        <v>1127</v>
      </c>
      <c r="P51" s="363">
        <f>IF(O51="","",IF(VLOOKUP(O51,'G-7 WaterC'' Data'!$AD$4:$AE$14,2,FALSE)=0,"Spatial Data Missing ⚠",VLOOKUP(O51,'G-7 WaterC'' Data'!$AD$4:$AE$14,2,FALSE)))</f>
        <v>0.75</v>
      </c>
      <c r="Q51" s="369" t="str">
        <f>IF(D51="","",VLOOKUP(D51,'G-7 WaterC'' Data'!$B$2:$G$8,6,FALSE))</f>
        <v>Same habitat required =</v>
      </c>
      <c r="R51" s="376">
        <f>IFERROR(IF(D51="","",IF(AND(Q51='G-1 All Habitats'!$X$3,U51&gt;0),V51+W51,IF(AND(Q51='G-1 All Habitats'!$X$3,T51&gt;0),V51+W51,IF(AND(Q51='G-1 All Habitats'!$X$3,AD51&gt;0),"Any Loss Unacceptable ⚠",IF(AND(Q51='G-1 All Habitats'!$X$3,AE51&gt;0),"Any Loss Unacceptable ⚠", E51*G51*I51*L51*N51*P51 ))))),"Check Data ▲")</f>
        <v>0.92939192059372122</v>
      </c>
      <c r="S51" s="32"/>
      <c r="T51" s="114">
        <v>0</v>
      </c>
      <c r="U51" s="125">
        <v>0.30979730686457374</v>
      </c>
      <c r="V51" s="374">
        <f t="shared" si="0"/>
        <v>0</v>
      </c>
      <c r="W51" s="374">
        <f t="shared" si="1"/>
        <v>0.92939192059372122</v>
      </c>
      <c r="X51" s="374">
        <f t="shared" si="2"/>
        <v>0</v>
      </c>
      <c r="Y51" s="670">
        <f t="shared" si="3"/>
        <v>0</v>
      </c>
      <c r="Z51" s="706"/>
      <c r="AA51" s="704"/>
      <c r="AB51" s="120"/>
      <c r="AC51" s="120" t="s">
        <v>2043</v>
      </c>
      <c r="AD51" s="57" t="str">
        <f>IF(Q51="","",IF(Q51='G-1 All Habitats'!$X$3,E51-T51-U51,"None"))</f>
        <v>None</v>
      </c>
      <c r="AE51" s="58" t="str">
        <f>IF(Q51="","", IF(Q51='G-1 All Habitats'!$X$3, AD51*G51*I51*L51*N51*P51,"None"))</f>
        <v>None</v>
      </c>
      <c r="AH51" s="30">
        <f t="shared" si="4"/>
        <v>0</v>
      </c>
      <c r="AI51" s="124" t="b">
        <f t="shared" si="5"/>
        <v>0</v>
      </c>
      <c r="AJ51" s="124" t="b">
        <f t="shared" si="6"/>
        <v>1</v>
      </c>
      <c r="AL51" s="124">
        <v>42</v>
      </c>
      <c r="AN51" s="124" t="str">
        <f t="array" ref="AN51">IFERROR(INDEX($AL$10:$AL$258, MATCH(0, IF(TRUE=$AI$10:$AI$258, COUNTIF($AN$9:$AN50, $AL$10:$AL$258), ""), 0)),"")</f>
        <v/>
      </c>
      <c r="AO51" s="124">
        <f t="array" ref="AO51">IFERROR(INDEX($AL$10:$AL$258, MATCH(0, IF(TRUE=$AJ$10:$AJ$258, COUNTIF($AO$9:$AO50, $AL$10:$AL$258), ""), 0)),"")</f>
        <v>47</v>
      </c>
      <c r="AQ51" s="30" t="str">
        <f>IFERROR(INDEX('G-7 WaterC'' Data'!$AZ$3:$AZ$7,MATCH(D51,'G-7 WaterC'' Data'!$AY$3:$AY$7,0)),"")</f>
        <v>Rivercond1</v>
      </c>
      <c r="AR51" s="30" t="str">
        <f>IFERROR(INDEX('G-7 WaterC'' Data'!AZ51:AZ55,MATCH(D51,'G-7 WaterC'' Data'!$AY$10:$AY$14,0)),"")</f>
        <v/>
      </c>
    </row>
    <row r="52" spans="3:44" ht="28.5" x14ac:dyDescent="0.2">
      <c r="C52" s="110">
        <v>43</v>
      </c>
      <c r="D52" s="338" t="s">
        <v>198</v>
      </c>
      <c r="E52" s="139">
        <v>0.11726732256410166</v>
      </c>
      <c r="F52" s="362" t="str">
        <f>IF(D52="","",VLOOKUP(D52,'G-7 WaterC'' Data'!$B$2:$G$8,2,FALSE))</f>
        <v>Medium</v>
      </c>
      <c r="G52" s="363">
        <f>IFERROR(VLOOKUP(F52,'G-7 WaterC'' Data'!$C$4:$D$8,2,FALSE),"")</f>
        <v>4</v>
      </c>
      <c r="H52" s="114" t="s">
        <v>329</v>
      </c>
      <c r="I52" s="363">
        <f>IFERROR(INDEX('G-7 WaterC'' Data'!$H$4:$L$8,MATCH(D52,'G-7 WaterC'' Data'!$B$4:$B$8,0),MATCH(H52,'G-7 WaterC'' Data'!$H$3:$L$3,0)),"")</f>
        <v>1</v>
      </c>
      <c r="J52" s="320" t="s">
        <v>1029</v>
      </c>
      <c r="K52" s="398" t="str">
        <f>IF(J52="","",IF(VLOOKUP(J52,'G-7 WaterC'' Data'!$AK$4:$AM$6,2,FALSE)=0,"Spatial Data Missing ⚠",VLOOKUP(J52,'G-7 WaterC'' Data'!$AK$4:$AM$6,2,FALSE)))</f>
        <v xml:space="preserve">High strategic significance </v>
      </c>
      <c r="L52" s="368">
        <f>IF(J52="","",IF(VLOOKUP(J52,'G-7 WaterC'' Data'!$AK$4:$AM$9,3,FALSE)=0,"Spatial Data Missing ⚠",VLOOKUP(J52,'G-7 WaterC'' Data'!$AK$4:$AM$6,3,FALSE)))</f>
        <v>1.1499999999999999</v>
      </c>
      <c r="M52" s="54" t="s">
        <v>1126</v>
      </c>
      <c r="N52" s="363">
        <f>IF(M52="","",IF(VLOOKUP(M52,'G-7 WaterC'' Data'!$AA$4:$AB$7,2,FALSE)=0,"Spatial Data Missing ⚠",VLOOKUP(M52,'G-7 WaterC'' Data'!$AA$4:$AB$7,2,FALSE)))</f>
        <v>1</v>
      </c>
      <c r="O52" s="60" t="s">
        <v>1127</v>
      </c>
      <c r="P52" s="363">
        <f>IF(O52="","",IF(VLOOKUP(O52,'G-7 WaterC'' Data'!$AD$4:$AE$14,2,FALSE)=0,"Spatial Data Missing ⚠",VLOOKUP(O52,'G-7 WaterC'' Data'!$AD$4:$AE$14,2,FALSE)))</f>
        <v>0.75</v>
      </c>
      <c r="Q52" s="369" t="str">
        <f>IF(D52="","",VLOOKUP(D52,'G-7 WaterC'' Data'!$B$2:$G$8,6,FALSE))</f>
        <v>Same habitat required =</v>
      </c>
      <c r="R52" s="376">
        <f>IFERROR(IF(D52="","",IF(AND(Q52='G-1 All Habitats'!$X$3,U52&gt;0),V52+W52,IF(AND(Q52='G-1 All Habitats'!$X$3,T52&gt;0),V52+W52,IF(AND(Q52='G-1 All Habitats'!$X$3,AD52&gt;0),"Any Loss Unacceptable ⚠",IF(AND(Q52='G-1 All Habitats'!$X$3,AE52&gt;0),"Any Loss Unacceptable ⚠", E52*G52*I52*L52*N52*P52 ))))),"Check Data ▲")</f>
        <v>0.40457226284615067</v>
      </c>
      <c r="S52" s="32"/>
      <c r="T52" s="114">
        <v>0</v>
      </c>
      <c r="U52" s="125">
        <v>0.11726732256410166</v>
      </c>
      <c r="V52" s="374">
        <f t="shared" si="0"/>
        <v>0</v>
      </c>
      <c r="W52" s="374">
        <f t="shared" si="1"/>
        <v>0.40457226284615067</v>
      </c>
      <c r="X52" s="374">
        <f t="shared" si="2"/>
        <v>0</v>
      </c>
      <c r="Y52" s="670">
        <f t="shared" si="3"/>
        <v>0</v>
      </c>
      <c r="Z52" s="706"/>
      <c r="AA52" s="704"/>
      <c r="AB52" s="120"/>
      <c r="AC52" s="120" t="s">
        <v>2044</v>
      </c>
      <c r="AD52" s="57" t="str">
        <f>IF(Q52="","",IF(Q52='G-1 All Habitats'!$X$3,E52-T52-U52,"None"))</f>
        <v>None</v>
      </c>
      <c r="AE52" s="58" t="str">
        <f>IF(Q52="","", IF(Q52='G-1 All Habitats'!$X$3, AD52*G52*I52*L52*N52*P52,"None"))</f>
        <v>None</v>
      </c>
      <c r="AH52" s="30">
        <f t="shared" si="4"/>
        <v>0</v>
      </c>
      <c r="AI52" s="124" t="b">
        <f t="shared" si="5"/>
        <v>0</v>
      </c>
      <c r="AJ52" s="124" t="b">
        <f t="shared" si="6"/>
        <v>1</v>
      </c>
      <c r="AL52" s="124">
        <v>43</v>
      </c>
      <c r="AN52" s="124" t="str">
        <f t="array" ref="AN52">IFERROR(INDEX($AL$10:$AL$258, MATCH(0, IF(TRUE=$AI$10:$AI$258, COUNTIF($AN$9:$AN51, $AL$10:$AL$258), ""), 0)),"")</f>
        <v/>
      </c>
      <c r="AO52" s="124">
        <f t="array" ref="AO52">IFERROR(INDEX($AL$10:$AL$258, MATCH(0, IF(TRUE=$AJ$10:$AJ$258, COUNTIF($AO$9:$AO51, $AL$10:$AL$258), ""), 0)),"")</f>
        <v>48</v>
      </c>
      <c r="AQ52" s="30" t="str">
        <f>IFERROR(INDEX('G-7 WaterC'' Data'!$AZ$3:$AZ$7,MATCH(D52,'G-7 WaterC'' Data'!$AY$3:$AY$7,0)),"")</f>
        <v>Rivercond1</v>
      </c>
      <c r="AR52" s="30" t="str">
        <f>IFERROR(INDEX('G-7 WaterC'' Data'!AZ52:AZ56,MATCH(D52,'G-7 WaterC'' Data'!$AY$10:$AY$14,0)),"")</f>
        <v/>
      </c>
    </row>
    <row r="53" spans="3:44" ht="28.5" x14ac:dyDescent="0.2">
      <c r="C53" s="110">
        <v>44</v>
      </c>
      <c r="D53" s="338" t="s">
        <v>198</v>
      </c>
      <c r="E53" s="139">
        <v>0.35679793007324195</v>
      </c>
      <c r="F53" s="362" t="str">
        <f>IF(D53="","",VLOOKUP(D53,'G-7 WaterC'' Data'!$B$2:$G$8,2,FALSE))</f>
        <v>Medium</v>
      </c>
      <c r="G53" s="363">
        <f>IFERROR(VLOOKUP(F53,'G-7 WaterC'' Data'!$C$4:$D$8,2,FALSE),"")</f>
        <v>4</v>
      </c>
      <c r="H53" s="114" t="s">
        <v>329</v>
      </c>
      <c r="I53" s="363">
        <f>IFERROR(INDEX('G-7 WaterC'' Data'!$H$4:$L$8,MATCH(D53,'G-7 WaterC'' Data'!$B$4:$B$8,0),MATCH(H53,'G-7 WaterC'' Data'!$H$3:$L$3,0)),"")</f>
        <v>1</v>
      </c>
      <c r="J53" s="320" t="s">
        <v>1029</v>
      </c>
      <c r="K53" s="398" t="str">
        <f>IF(J53="","",IF(VLOOKUP(J53,'G-7 WaterC'' Data'!$AK$4:$AM$6,2,FALSE)=0,"Spatial Data Missing ⚠",VLOOKUP(J53,'G-7 WaterC'' Data'!$AK$4:$AM$6,2,FALSE)))</f>
        <v xml:space="preserve">High strategic significance </v>
      </c>
      <c r="L53" s="368">
        <f>IF(J53="","",IF(VLOOKUP(J53,'G-7 WaterC'' Data'!$AK$4:$AM$9,3,FALSE)=0,"Spatial Data Missing ⚠",VLOOKUP(J53,'G-7 WaterC'' Data'!$AK$4:$AM$6,3,FALSE)))</f>
        <v>1.1499999999999999</v>
      </c>
      <c r="M53" s="54" t="s">
        <v>1126</v>
      </c>
      <c r="N53" s="363">
        <f>IF(M53="","",IF(VLOOKUP(M53,'G-7 WaterC'' Data'!$AA$4:$AB$7,2,FALSE)=0,"Spatial Data Missing ⚠",VLOOKUP(M53,'G-7 WaterC'' Data'!$AA$4:$AB$7,2,FALSE)))</f>
        <v>1</v>
      </c>
      <c r="O53" s="60" t="s">
        <v>1127</v>
      </c>
      <c r="P53" s="363">
        <f>IF(O53="","",IF(VLOOKUP(O53,'G-7 WaterC'' Data'!$AD$4:$AE$14,2,FALSE)=0,"Spatial Data Missing ⚠",VLOOKUP(O53,'G-7 WaterC'' Data'!$AD$4:$AE$14,2,FALSE)))</f>
        <v>0.75</v>
      </c>
      <c r="Q53" s="369" t="str">
        <f>IF(D53="","",VLOOKUP(D53,'G-7 WaterC'' Data'!$B$2:$G$8,6,FALSE))</f>
        <v>Same habitat required =</v>
      </c>
      <c r="R53" s="376">
        <f>IFERROR(IF(D53="","",IF(AND(Q53='G-1 All Habitats'!$X$3,U53&gt;0),V53+W53,IF(AND(Q53='G-1 All Habitats'!$X$3,T53&gt;0),V53+W53,IF(AND(Q53='G-1 All Habitats'!$X$3,AD53&gt;0),"Any Loss Unacceptable ⚠",IF(AND(Q53='G-1 All Habitats'!$X$3,AE53&gt;0),"Any Loss Unacceptable ⚠", E53*G53*I53*L53*N53*P53 ))))),"Check Data ▲")</f>
        <v>1.2309528587526846</v>
      </c>
      <c r="S53" s="32"/>
      <c r="T53" s="114">
        <v>0</v>
      </c>
      <c r="U53" s="125">
        <v>0.35679793007324195</v>
      </c>
      <c r="V53" s="374">
        <f t="shared" si="0"/>
        <v>0</v>
      </c>
      <c r="W53" s="374">
        <f t="shared" si="1"/>
        <v>1.2309528587526846</v>
      </c>
      <c r="X53" s="374">
        <f t="shared" si="2"/>
        <v>0</v>
      </c>
      <c r="Y53" s="670">
        <f t="shared" si="3"/>
        <v>0</v>
      </c>
      <c r="Z53" s="706"/>
      <c r="AA53" s="704"/>
      <c r="AB53" s="120"/>
      <c r="AC53" s="120" t="s">
        <v>2045</v>
      </c>
      <c r="AD53" s="57" t="str">
        <f>IF(Q53="","",IF(Q53='G-1 All Habitats'!$X$3,E53-T53-U53,"None"))</f>
        <v>None</v>
      </c>
      <c r="AE53" s="58" t="str">
        <f>IF(Q53="","", IF(Q53='G-1 All Habitats'!$X$3, AD53*G53*I53*L53*N53*P53,"None"))</f>
        <v>None</v>
      </c>
      <c r="AH53" s="30">
        <f t="shared" si="4"/>
        <v>0</v>
      </c>
      <c r="AI53" s="124" t="b">
        <f t="shared" si="5"/>
        <v>0</v>
      </c>
      <c r="AJ53" s="124" t="b">
        <f t="shared" si="6"/>
        <v>1</v>
      </c>
      <c r="AL53" s="124">
        <v>44</v>
      </c>
      <c r="AN53" s="124" t="str">
        <f t="array" ref="AN53">IFERROR(INDEX($AL$10:$AL$258, MATCH(0, IF(TRUE=$AI$10:$AI$258, COUNTIF($AN$9:$AN52, $AL$10:$AL$258), ""), 0)),"")</f>
        <v/>
      </c>
      <c r="AO53" s="124">
        <f t="array" ref="AO53">IFERROR(INDEX($AL$10:$AL$258, MATCH(0, IF(TRUE=$AJ$10:$AJ$258, COUNTIF($AO$9:$AO52, $AL$10:$AL$258), ""), 0)),"")</f>
        <v>49</v>
      </c>
      <c r="AQ53" s="30" t="str">
        <f>IFERROR(INDEX('G-7 WaterC'' Data'!$AZ$3:$AZ$7,MATCH(D53,'G-7 WaterC'' Data'!$AY$3:$AY$7,0)),"")</f>
        <v>Rivercond1</v>
      </c>
      <c r="AR53" s="30" t="str">
        <f>IFERROR(INDEX('G-7 WaterC'' Data'!AZ53:AZ57,MATCH(D53,'G-7 WaterC'' Data'!$AY$10:$AY$14,0)),"")</f>
        <v/>
      </c>
    </row>
    <row r="54" spans="3:44" ht="28.5" x14ac:dyDescent="0.2">
      <c r="C54" s="110">
        <v>45</v>
      </c>
      <c r="D54" s="338" t="s">
        <v>198</v>
      </c>
      <c r="E54" s="139">
        <v>3.635734633099367E-3</v>
      </c>
      <c r="F54" s="362" t="str">
        <f>IF(D54="","",VLOOKUP(D54,'G-7 WaterC'' Data'!$B$2:$G$8,2,FALSE))</f>
        <v>Medium</v>
      </c>
      <c r="G54" s="363">
        <f>IFERROR(VLOOKUP(F54,'G-7 WaterC'' Data'!$C$4:$D$8,2,FALSE),"")</f>
        <v>4</v>
      </c>
      <c r="H54" s="114" t="s">
        <v>329</v>
      </c>
      <c r="I54" s="363">
        <f>IFERROR(INDEX('G-7 WaterC'' Data'!$H$4:$L$8,MATCH(D54,'G-7 WaterC'' Data'!$B$4:$B$8,0),MATCH(H54,'G-7 WaterC'' Data'!$H$3:$L$3,0)),"")</f>
        <v>1</v>
      </c>
      <c r="J54" s="320" t="s">
        <v>1037</v>
      </c>
      <c r="K54" s="398" t="str">
        <f>IF(J54="","",IF(VLOOKUP(J54,'G-7 WaterC'' Data'!$AK$4:$AM$6,2,FALSE)=0,"Spatial Data Missing ⚠",VLOOKUP(J54,'G-7 WaterC'' Data'!$AK$4:$AM$6,2,FALSE)))</f>
        <v>Low Strategic Significance</v>
      </c>
      <c r="L54" s="368">
        <f>IF(J54="","",IF(VLOOKUP(J54,'G-7 WaterC'' Data'!$AK$4:$AM$9,3,FALSE)=0,"Spatial Data Missing ⚠",VLOOKUP(J54,'G-7 WaterC'' Data'!$AK$4:$AM$6,3,FALSE)))</f>
        <v>1</v>
      </c>
      <c r="M54" s="54" t="s">
        <v>1126</v>
      </c>
      <c r="N54" s="363">
        <f>IF(M54="","",IF(VLOOKUP(M54,'G-7 WaterC'' Data'!$AA$4:$AB$7,2,FALSE)=0,"Spatial Data Missing ⚠",VLOOKUP(M54,'G-7 WaterC'' Data'!$AA$4:$AB$7,2,FALSE)))</f>
        <v>1</v>
      </c>
      <c r="O54" s="60" t="s">
        <v>1127</v>
      </c>
      <c r="P54" s="363">
        <f>IF(O54="","",IF(VLOOKUP(O54,'G-7 WaterC'' Data'!$AD$4:$AE$14,2,FALSE)=0,"Spatial Data Missing ⚠",VLOOKUP(O54,'G-7 WaterC'' Data'!$AD$4:$AE$14,2,FALSE)))</f>
        <v>0.75</v>
      </c>
      <c r="Q54" s="369" t="str">
        <f>IF(D54="","",VLOOKUP(D54,'G-7 WaterC'' Data'!$B$2:$G$8,6,FALSE))</f>
        <v>Same habitat required =</v>
      </c>
      <c r="R54" s="376">
        <f>IFERROR(IF(D54="","",IF(AND(Q54='G-1 All Habitats'!$X$3,U54&gt;0),V54+W54,IF(AND(Q54='G-1 All Habitats'!$X$3,T54&gt;0),V54+W54,IF(AND(Q54='G-1 All Habitats'!$X$3,AD54&gt;0),"Any Loss Unacceptable ⚠",IF(AND(Q54='G-1 All Habitats'!$X$3,AE54&gt;0),"Any Loss Unacceptable ⚠", E54*G54*I54*L54*N54*P54 ))))),"Check Data ▲")</f>
        <v>1.0907203899298102E-2</v>
      </c>
      <c r="S54" s="32"/>
      <c r="T54" s="114">
        <v>0</v>
      </c>
      <c r="U54" s="125">
        <v>3.635734633099367E-3</v>
      </c>
      <c r="V54" s="374">
        <f t="shared" si="0"/>
        <v>0</v>
      </c>
      <c r="W54" s="374">
        <f t="shared" si="1"/>
        <v>1.0907203899298102E-2</v>
      </c>
      <c r="X54" s="374">
        <f t="shared" si="2"/>
        <v>0</v>
      </c>
      <c r="Y54" s="670">
        <f t="shared" si="3"/>
        <v>0</v>
      </c>
      <c r="Z54" s="706"/>
      <c r="AA54" s="704"/>
      <c r="AB54" s="120"/>
      <c r="AC54" s="120" t="s">
        <v>2046</v>
      </c>
      <c r="AD54" s="57" t="str">
        <f>IF(Q54="","",IF(Q54='G-1 All Habitats'!$X$3,E54-T54-U54,"None"))</f>
        <v>None</v>
      </c>
      <c r="AE54" s="58" t="str">
        <f>IF(Q54="","", IF(Q54='G-1 All Habitats'!$X$3, AD54*G54*I54*L54*N54*P54,"None"))</f>
        <v>None</v>
      </c>
      <c r="AH54" s="30">
        <f t="shared" si="4"/>
        <v>0</v>
      </c>
      <c r="AI54" s="124" t="b">
        <f t="shared" si="5"/>
        <v>0</v>
      </c>
      <c r="AJ54" s="124" t="b">
        <f t="shared" si="6"/>
        <v>1</v>
      </c>
      <c r="AL54" s="124">
        <v>45</v>
      </c>
      <c r="AN54" s="124" t="str">
        <f t="array" ref="AN54">IFERROR(INDEX($AL$10:$AL$258, MATCH(0, IF(TRUE=$AI$10:$AI$258, COUNTIF($AN$9:$AN53, $AL$10:$AL$258), ""), 0)),"")</f>
        <v/>
      </c>
      <c r="AO54" s="124">
        <f t="array" ref="AO54">IFERROR(INDEX($AL$10:$AL$258, MATCH(0, IF(TRUE=$AJ$10:$AJ$258, COUNTIF($AO$9:$AO53, $AL$10:$AL$258), ""), 0)),"")</f>
        <v>50</v>
      </c>
      <c r="AQ54" s="30" t="str">
        <f>IFERROR(INDEX('G-7 WaterC'' Data'!$AZ$3:$AZ$7,MATCH(D54,'G-7 WaterC'' Data'!$AY$3:$AY$7,0)),"")</f>
        <v>Rivercond1</v>
      </c>
      <c r="AR54" s="30" t="str">
        <f>IFERROR(INDEX('G-7 WaterC'' Data'!AZ54:AZ58,MATCH(D54,'G-7 WaterC'' Data'!$AY$10:$AY$14,0)),"")</f>
        <v/>
      </c>
    </row>
    <row r="55" spans="3:44" ht="28.5" x14ac:dyDescent="0.2">
      <c r="C55" s="110">
        <v>46</v>
      </c>
      <c r="D55" s="338" t="s">
        <v>198</v>
      </c>
      <c r="E55" s="139">
        <v>0.44951688576800192</v>
      </c>
      <c r="F55" s="362" t="str">
        <f>IF(D55="","",VLOOKUP(D55,'G-7 WaterC'' Data'!$B$2:$G$8,2,FALSE))</f>
        <v>Medium</v>
      </c>
      <c r="G55" s="363">
        <f>IFERROR(VLOOKUP(F55,'G-7 WaterC'' Data'!$C$4:$D$8,2,FALSE),"")</f>
        <v>4</v>
      </c>
      <c r="H55" s="114" t="s">
        <v>329</v>
      </c>
      <c r="I55" s="363">
        <f>IFERROR(INDEX('G-7 WaterC'' Data'!$H$4:$L$8,MATCH(D55,'G-7 WaterC'' Data'!$B$4:$B$8,0),MATCH(H55,'G-7 WaterC'' Data'!$H$3:$L$3,0)),"")</f>
        <v>1</v>
      </c>
      <c r="J55" s="320" t="s">
        <v>1029</v>
      </c>
      <c r="K55" s="398" t="str">
        <f>IF(J55="","",IF(VLOOKUP(J55,'G-7 WaterC'' Data'!$AK$4:$AM$6,2,FALSE)=0,"Spatial Data Missing ⚠",VLOOKUP(J55,'G-7 WaterC'' Data'!$AK$4:$AM$6,2,FALSE)))</f>
        <v xml:space="preserve">High strategic significance </v>
      </c>
      <c r="L55" s="368">
        <f>IF(J55="","",IF(VLOOKUP(J55,'G-7 WaterC'' Data'!$AK$4:$AM$9,3,FALSE)=0,"Spatial Data Missing ⚠",VLOOKUP(J55,'G-7 WaterC'' Data'!$AK$4:$AM$6,3,FALSE)))</f>
        <v>1.1499999999999999</v>
      </c>
      <c r="M55" s="54" t="s">
        <v>1126</v>
      </c>
      <c r="N55" s="363">
        <f>IF(M55="","",IF(VLOOKUP(M55,'G-7 WaterC'' Data'!$AA$4:$AB$7,2,FALSE)=0,"Spatial Data Missing ⚠",VLOOKUP(M55,'G-7 WaterC'' Data'!$AA$4:$AB$7,2,FALSE)))</f>
        <v>1</v>
      </c>
      <c r="O55" s="60" t="s">
        <v>1127</v>
      </c>
      <c r="P55" s="363">
        <f>IF(O55="","",IF(VLOOKUP(O55,'G-7 WaterC'' Data'!$AD$4:$AE$14,2,FALSE)=0,"Spatial Data Missing ⚠",VLOOKUP(O55,'G-7 WaterC'' Data'!$AD$4:$AE$14,2,FALSE)))</f>
        <v>0.75</v>
      </c>
      <c r="Q55" s="369" t="str">
        <f>IF(D55="","",VLOOKUP(D55,'G-7 WaterC'' Data'!$B$2:$G$8,6,FALSE))</f>
        <v>Same habitat required =</v>
      </c>
      <c r="R55" s="376">
        <f>IFERROR(IF(D55="","",IF(AND(Q55='G-1 All Habitats'!$X$3,U55&gt;0),V55+W55,IF(AND(Q55='G-1 All Habitats'!$X$3,T55&gt;0),V55+W55,IF(AND(Q55='G-1 All Habitats'!$X$3,AD55&gt;0),"Any Loss Unacceptable ⚠",IF(AND(Q55='G-1 All Habitats'!$X$3,AE55&gt;0),"Any Loss Unacceptable ⚠", E55*G55*I55*L55*N55*P55 ))))),"Check Data ▲")</f>
        <v>1.5508332558996065</v>
      </c>
      <c r="S55" s="32"/>
      <c r="T55" s="114">
        <v>0</v>
      </c>
      <c r="U55" s="125">
        <v>0.44951688576800192</v>
      </c>
      <c r="V55" s="374">
        <f t="shared" si="0"/>
        <v>0</v>
      </c>
      <c r="W55" s="374">
        <f t="shared" si="1"/>
        <v>1.5508332558996065</v>
      </c>
      <c r="X55" s="374">
        <f t="shared" si="2"/>
        <v>0</v>
      </c>
      <c r="Y55" s="670">
        <f t="shared" si="3"/>
        <v>0</v>
      </c>
      <c r="Z55" s="706"/>
      <c r="AA55" s="704"/>
      <c r="AB55" s="120"/>
      <c r="AC55" s="120" t="s">
        <v>2047</v>
      </c>
      <c r="AD55" s="57" t="str">
        <f>IF(Q55="","",IF(Q55='G-1 All Habitats'!$X$3,E55-T55-U55,"None"))</f>
        <v>None</v>
      </c>
      <c r="AE55" s="58" t="str">
        <f>IF(Q55="","", IF(Q55='G-1 All Habitats'!$X$3, AD55*G55*I55*L55*N55*P55,"None"))</f>
        <v>None</v>
      </c>
      <c r="AH55" s="30">
        <f t="shared" si="4"/>
        <v>0</v>
      </c>
      <c r="AI55" s="124" t="b">
        <f t="shared" si="5"/>
        <v>0</v>
      </c>
      <c r="AJ55" s="124" t="b">
        <f t="shared" si="6"/>
        <v>1</v>
      </c>
      <c r="AL55" s="124">
        <v>46</v>
      </c>
      <c r="AN55" s="124" t="str">
        <f t="array" ref="AN55">IFERROR(INDEX($AL$10:$AL$258, MATCH(0, IF(TRUE=$AI$10:$AI$258, COUNTIF($AN$9:$AN54, $AL$10:$AL$258), ""), 0)),"")</f>
        <v/>
      </c>
      <c r="AO55" s="124">
        <f t="array" ref="AO55">IFERROR(INDEX($AL$10:$AL$258, MATCH(0, IF(TRUE=$AJ$10:$AJ$258, COUNTIF($AO$9:$AO54, $AL$10:$AL$258), ""), 0)),"")</f>
        <v>51</v>
      </c>
      <c r="AQ55" s="30" t="str">
        <f>IFERROR(INDEX('G-7 WaterC'' Data'!$AZ$3:$AZ$7,MATCH(D55,'G-7 WaterC'' Data'!$AY$3:$AY$7,0)),"")</f>
        <v>Rivercond1</v>
      </c>
      <c r="AR55" s="30" t="str">
        <f>IFERROR(INDEX('G-7 WaterC'' Data'!AZ55:AZ59,MATCH(D55,'G-7 WaterC'' Data'!$AY$10:$AY$14,0)),"")</f>
        <v/>
      </c>
    </row>
    <row r="56" spans="3:44" ht="28.5" x14ac:dyDescent="0.2">
      <c r="C56" s="110">
        <v>47</v>
      </c>
      <c r="D56" s="338" t="s">
        <v>197</v>
      </c>
      <c r="E56" s="139">
        <v>4.2336885559366794E-2</v>
      </c>
      <c r="F56" s="362" t="str">
        <f>IF(D56="","",VLOOKUP(D56,'G-7 WaterC'' Data'!$B$2:$G$8,2,FALSE))</f>
        <v>High</v>
      </c>
      <c r="G56" s="363">
        <f>IFERROR(VLOOKUP(F56,'G-7 WaterC'' Data'!$C$4:$D$8,2,FALSE),"")</f>
        <v>6</v>
      </c>
      <c r="H56" s="114" t="s">
        <v>329</v>
      </c>
      <c r="I56" s="363">
        <f>IFERROR(INDEX('G-7 WaterC'' Data'!$H$4:$L$8,MATCH(D56,'G-7 WaterC'' Data'!$B$4:$B$8,0),MATCH(H56,'G-7 WaterC'' Data'!$H$3:$L$3,0)),"")</f>
        <v>1</v>
      </c>
      <c r="J56" s="320" t="s">
        <v>1029</v>
      </c>
      <c r="K56" s="398" t="str">
        <f>IF(J56="","",IF(VLOOKUP(J56,'G-7 WaterC'' Data'!$AK$4:$AM$6,2,FALSE)=0,"Spatial Data Missing ⚠",VLOOKUP(J56,'G-7 WaterC'' Data'!$AK$4:$AM$6,2,FALSE)))</f>
        <v xml:space="preserve">High strategic significance </v>
      </c>
      <c r="L56" s="368">
        <f>IF(J56="","",IF(VLOOKUP(J56,'G-7 WaterC'' Data'!$AK$4:$AM$9,3,FALSE)=0,"Spatial Data Missing ⚠",VLOOKUP(J56,'G-7 WaterC'' Data'!$AK$4:$AM$6,3,FALSE)))</f>
        <v>1.1499999999999999</v>
      </c>
      <c r="M56" s="54" t="s">
        <v>1126</v>
      </c>
      <c r="N56" s="363">
        <f>IF(M56="","",IF(VLOOKUP(M56,'G-7 WaterC'' Data'!$AA$4:$AB$7,2,FALSE)=0,"Spatial Data Missing ⚠",VLOOKUP(M56,'G-7 WaterC'' Data'!$AA$4:$AB$7,2,FALSE)))</f>
        <v>1</v>
      </c>
      <c r="O56" s="60" t="s">
        <v>1127</v>
      </c>
      <c r="P56" s="363">
        <f>IF(O56="","",IF(VLOOKUP(O56,'G-7 WaterC'' Data'!$AD$4:$AE$14,2,FALSE)=0,"Spatial Data Missing ⚠",VLOOKUP(O56,'G-7 WaterC'' Data'!$AD$4:$AE$14,2,FALSE)))</f>
        <v>0.75</v>
      </c>
      <c r="Q56" s="369" t="str">
        <f>IF(D56="","",VLOOKUP(D56,'G-7 WaterC'' Data'!$B$2:$G$8,6,FALSE))</f>
        <v>Same habitat required =</v>
      </c>
      <c r="R56" s="376">
        <f>IFERROR(IF(D56="","",IF(AND(Q56='G-1 All Habitats'!$X$3,U56&gt;0),V56+W56,IF(AND(Q56='G-1 All Habitats'!$X$3,T56&gt;0),V56+W56,IF(AND(Q56='G-1 All Habitats'!$X$3,AD56&gt;0),"Any Loss Unacceptable ⚠",IF(AND(Q56='G-1 All Habitats'!$X$3,AE56&gt;0),"Any Loss Unacceptable ⚠", E56*G56*I56*L56*N56*P56 ))))),"Check Data ▲")</f>
        <v>0.21909338276972312</v>
      </c>
      <c r="S56" s="32"/>
      <c r="T56" s="114">
        <v>0</v>
      </c>
      <c r="U56" s="125">
        <v>4.2336885559366794E-2</v>
      </c>
      <c r="V56" s="374">
        <f t="shared" si="0"/>
        <v>0</v>
      </c>
      <c r="W56" s="374">
        <f t="shared" si="1"/>
        <v>0.21909338276972312</v>
      </c>
      <c r="X56" s="374">
        <f t="shared" si="2"/>
        <v>0</v>
      </c>
      <c r="Y56" s="670">
        <f t="shared" si="3"/>
        <v>0</v>
      </c>
      <c r="Z56" s="706"/>
      <c r="AA56" s="704"/>
      <c r="AB56" s="120"/>
      <c r="AC56" s="120" t="s">
        <v>2048</v>
      </c>
      <c r="AD56" s="57" t="str">
        <f>IF(Q56="","",IF(Q56='G-1 All Habitats'!$X$3,E56-T56-U56,"None"))</f>
        <v>None</v>
      </c>
      <c r="AE56" s="58" t="str">
        <f>IF(Q56="","", IF(Q56='G-1 All Habitats'!$X$3, AD56*G56*I56*L56*N56*P56,"None"))</f>
        <v>None</v>
      </c>
      <c r="AH56" s="30">
        <f t="shared" si="4"/>
        <v>0</v>
      </c>
      <c r="AI56" s="124" t="b">
        <f t="shared" si="5"/>
        <v>0</v>
      </c>
      <c r="AJ56" s="124" t="b">
        <f t="shared" si="6"/>
        <v>1</v>
      </c>
      <c r="AL56" s="124">
        <v>47</v>
      </c>
      <c r="AN56" s="124" t="str">
        <f t="array" ref="AN56">IFERROR(INDEX($AL$10:$AL$258, MATCH(0, IF(TRUE=$AI$10:$AI$258, COUNTIF($AN$9:$AN55, $AL$10:$AL$258), ""), 0)),"")</f>
        <v/>
      </c>
      <c r="AO56" s="124">
        <f t="array" ref="AO56">IFERROR(INDEX($AL$10:$AL$258, MATCH(0, IF(TRUE=$AJ$10:$AJ$258, COUNTIF($AO$9:$AO55, $AL$10:$AL$258), ""), 0)),"")</f>
        <v>52</v>
      </c>
      <c r="AQ56" s="30" t="str">
        <f>IFERROR(INDEX('G-7 WaterC'' Data'!$AZ$3:$AZ$7,MATCH(D56,'G-7 WaterC'' Data'!$AY$3:$AY$7,0)),"")</f>
        <v>Rivercond1</v>
      </c>
      <c r="AR56" s="30" t="str">
        <f>IFERROR(INDEX('G-7 WaterC'' Data'!AZ56:AZ60,MATCH(D56,'G-7 WaterC'' Data'!$AY$10:$AY$14,0)),"")</f>
        <v/>
      </c>
    </row>
    <row r="57" spans="3:44" ht="28.5" x14ac:dyDescent="0.2">
      <c r="C57" s="110">
        <v>48</v>
      </c>
      <c r="D57" s="338" t="s">
        <v>198</v>
      </c>
      <c r="E57" s="139">
        <v>0.42257326811620421</v>
      </c>
      <c r="F57" s="362" t="str">
        <f>IF(D57="","",VLOOKUP(D57,'G-7 WaterC'' Data'!$B$2:$G$8,2,FALSE))</f>
        <v>Medium</v>
      </c>
      <c r="G57" s="363">
        <f>IFERROR(VLOOKUP(F57,'G-7 WaterC'' Data'!$C$4:$D$8,2,FALSE),"")</f>
        <v>4</v>
      </c>
      <c r="H57" s="114" t="s">
        <v>329</v>
      </c>
      <c r="I57" s="363">
        <f>IFERROR(INDEX('G-7 WaterC'' Data'!$H$4:$L$8,MATCH(D57,'G-7 WaterC'' Data'!$B$4:$B$8,0),MATCH(H57,'G-7 WaterC'' Data'!$H$3:$L$3,0)),"")</f>
        <v>1</v>
      </c>
      <c r="J57" s="320" t="s">
        <v>1029</v>
      </c>
      <c r="K57" s="398" t="str">
        <f>IF(J57="","",IF(VLOOKUP(J57,'G-7 WaterC'' Data'!$AK$4:$AM$6,2,FALSE)=0,"Spatial Data Missing ⚠",VLOOKUP(J57,'G-7 WaterC'' Data'!$AK$4:$AM$6,2,FALSE)))</f>
        <v xml:space="preserve">High strategic significance </v>
      </c>
      <c r="L57" s="368">
        <f>IF(J57="","",IF(VLOOKUP(J57,'G-7 WaterC'' Data'!$AK$4:$AM$9,3,FALSE)=0,"Spatial Data Missing ⚠",VLOOKUP(J57,'G-7 WaterC'' Data'!$AK$4:$AM$6,3,FALSE)))</f>
        <v>1.1499999999999999</v>
      </c>
      <c r="M57" s="54" t="s">
        <v>1126</v>
      </c>
      <c r="N57" s="363">
        <f>IF(M57="","",IF(VLOOKUP(M57,'G-7 WaterC'' Data'!$AA$4:$AB$7,2,FALSE)=0,"Spatial Data Missing ⚠",VLOOKUP(M57,'G-7 WaterC'' Data'!$AA$4:$AB$7,2,FALSE)))</f>
        <v>1</v>
      </c>
      <c r="O57" s="60" t="s">
        <v>1127</v>
      </c>
      <c r="P57" s="363">
        <f>IF(O57="","",IF(VLOOKUP(O57,'G-7 WaterC'' Data'!$AD$4:$AE$14,2,FALSE)=0,"Spatial Data Missing ⚠",VLOOKUP(O57,'G-7 WaterC'' Data'!$AD$4:$AE$14,2,FALSE)))</f>
        <v>0.75</v>
      </c>
      <c r="Q57" s="369" t="str">
        <f>IF(D57="","",VLOOKUP(D57,'G-7 WaterC'' Data'!$B$2:$G$8,6,FALSE))</f>
        <v>Same habitat required =</v>
      </c>
      <c r="R57" s="376">
        <f>IFERROR(IF(D57="","",IF(AND(Q57='G-1 All Habitats'!$X$3,U57&gt;0),V57+W57,IF(AND(Q57='G-1 All Habitats'!$X$3,T57&gt;0),V57+W57,IF(AND(Q57='G-1 All Habitats'!$X$3,AD57&gt;0),"Any Loss Unacceptable ⚠",IF(AND(Q57='G-1 All Habitats'!$X$3,AE57&gt;0),"Any Loss Unacceptable ⚠", E57*G57*I57*L57*N57*P57 ))))),"Check Data ▲")</f>
        <v>1.4578777750009044</v>
      </c>
      <c r="S57" s="32"/>
      <c r="T57" s="114">
        <v>0</v>
      </c>
      <c r="U57" s="125">
        <v>0.42257326811620421</v>
      </c>
      <c r="V57" s="374">
        <f t="shared" si="0"/>
        <v>0</v>
      </c>
      <c r="W57" s="374">
        <f t="shared" si="1"/>
        <v>1.4578777750009044</v>
      </c>
      <c r="X57" s="374">
        <f t="shared" si="2"/>
        <v>0</v>
      </c>
      <c r="Y57" s="670">
        <f t="shared" si="3"/>
        <v>0</v>
      </c>
      <c r="Z57" s="706"/>
      <c r="AA57" s="704"/>
      <c r="AB57" s="120"/>
      <c r="AC57" s="120" t="s">
        <v>2049</v>
      </c>
      <c r="AD57" s="57" t="str">
        <f>IF(Q57="","",IF(Q57='G-1 All Habitats'!$X$3,E57-T57-U57,"None"))</f>
        <v>None</v>
      </c>
      <c r="AE57" s="58" t="str">
        <f>IF(Q57="","", IF(Q57='G-1 All Habitats'!$X$3, AD57*G57*I57*L57*N57*P57,"None"))</f>
        <v>None</v>
      </c>
      <c r="AH57" s="30">
        <f t="shared" si="4"/>
        <v>0</v>
      </c>
      <c r="AI57" s="124" t="b">
        <f t="shared" si="5"/>
        <v>0</v>
      </c>
      <c r="AJ57" s="124" t="b">
        <f t="shared" si="6"/>
        <v>1</v>
      </c>
      <c r="AL57" s="124">
        <v>48</v>
      </c>
      <c r="AN57" s="124" t="str">
        <f t="array" ref="AN57">IFERROR(INDEX($AL$10:$AL$258, MATCH(0, IF(TRUE=$AI$10:$AI$258, COUNTIF($AN$9:$AN56, $AL$10:$AL$258), ""), 0)),"")</f>
        <v/>
      </c>
      <c r="AO57" s="124">
        <f t="array" ref="AO57">IFERROR(INDEX($AL$10:$AL$258, MATCH(0, IF(TRUE=$AJ$10:$AJ$258, COUNTIF($AO$9:$AO56, $AL$10:$AL$258), ""), 0)),"")</f>
        <v>53</v>
      </c>
      <c r="AQ57" s="30" t="str">
        <f>IFERROR(INDEX('G-7 WaterC'' Data'!$AZ$3:$AZ$7,MATCH(D57,'G-7 WaterC'' Data'!$AY$3:$AY$7,0)),"")</f>
        <v>Rivercond1</v>
      </c>
      <c r="AR57" s="30" t="str">
        <f>IFERROR(INDEX('G-7 WaterC'' Data'!AZ57:AZ61,MATCH(D57,'G-7 WaterC'' Data'!$AY$10:$AY$14,0)),"")</f>
        <v/>
      </c>
    </row>
    <row r="58" spans="3:44" ht="28.5" x14ac:dyDescent="0.2">
      <c r="C58" s="110">
        <v>49</v>
      </c>
      <c r="D58" s="338" t="s">
        <v>198</v>
      </c>
      <c r="E58" s="139">
        <v>0.8380987293342872</v>
      </c>
      <c r="F58" s="362" t="str">
        <f>IF(D58="","",VLOOKUP(D58,'G-7 WaterC'' Data'!$B$2:$G$8,2,FALSE))</f>
        <v>Medium</v>
      </c>
      <c r="G58" s="363">
        <f>IFERROR(VLOOKUP(F58,'G-7 WaterC'' Data'!$C$4:$D$8,2,FALSE),"")</f>
        <v>4</v>
      </c>
      <c r="H58" s="114" t="s">
        <v>67</v>
      </c>
      <c r="I58" s="363">
        <f>IFERROR(INDEX('G-7 WaterC'' Data'!$H$4:$L$8,MATCH(D58,'G-7 WaterC'' Data'!$B$4:$B$8,0),MATCH(H58,'G-7 WaterC'' Data'!$H$3:$L$3,0)),"")</f>
        <v>2</v>
      </c>
      <c r="J58" s="320" t="s">
        <v>1029</v>
      </c>
      <c r="K58" s="398" t="str">
        <f>IF(J58="","",IF(VLOOKUP(J58,'G-7 WaterC'' Data'!$AK$4:$AM$6,2,FALSE)=0,"Spatial Data Missing ⚠",VLOOKUP(J58,'G-7 WaterC'' Data'!$AK$4:$AM$6,2,FALSE)))</f>
        <v xml:space="preserve">High strategic significance </v>
      </c>
      <c r="L58" s="368">
        <f>IF(J58="","",IF(VLOOKUP(J58,'G-7 WaterC'' Data'!$AK$4:$AM$9,3,FALSE)=0,"Spatial Data Missing ⚠",VLOOKUP(J58,'G-7 WaterC'' Data'!$AK$4:$AM$6,3,FALSE)))</f>
        <v>1.1499999999999999</v>
      </c>
      <c r="M58" s="54" t="s">
        <v>1126</v>
      </c>
      <c r="N58" s="363">
        <f>IF(M58="","",IF(VLOOKUP(M58,'G-7 WaterC'' Data'!$AA$4:$AB$7,2,FALSE)=0,"Spatial Data Missing ⚠",VLOOKUP(M58,'G-7 WaterC'' Data'!$AA$4:$AB$7,2,FALSE)))</f>
        <v>1</v>
      </c>
      <c r="O58" s="60" t="s">
        <v>1127</v>
      </c>
      <c r="P58" s="363">
        <f>IF(O58="","",IF(VLOOKUP(O58,'G-7 WaterC'' Data'!$AD$4:$AE$14,2,FALSE)=0,"Spatial Data Missing ⚠",VLOOKUP(O58,'G-7 WaterC'' Data'!$AD$4:$AE$14,2,FALSE)))</f>
        <v>0.75</v>
      </c>
      <c r="Q58" s="369" t="str">
        <f>IF(D58="","",VLOOKUP(D58,'G-7 WaterC'' Data'!$B$2:$G$8,6,FALSE))</f>
        <v>Same habitat required =</v>
      </c>
      <c r="R58" s="376">
        <f>IFERROR(IF(D58="","",IF(AND(Q58='G-1 All Habitats'!$X$3,U58&gt;0),V58+W58,IF(AND(Q58='G-1 All Habitats'!$X$3,T58&gt;0),V58+W58,IF(AND(Q58='G-1 All Habitats'!$X$3,AD58&gt;0),"Any Loss Unacceptable ⚠",IF(AND(Q58='G-1 All Habitats'!$X$3,AE58&gt;0),"Any Loss Unacceptable ⚠", E58*G58*I58*L58*N58*P58 ))))),"Check Data ▲")</f>
        <v>5.7828812324065808</v>
      </c>
      <c r="S58" s="32"/>
      <c r="T58" s="114">
        <v>0</v>
      </c>
      <c r="U58" s="125">
        <v>0.8380987293342872</v>
      </c>
      <c r="V58" s="374">
        <f t="shared" si="0"/>
        <v>0</v>
      </c>
      <c r="W58" s="374">
        <f t="shared" si="1"/>
        <v>5.7828812324065808</v>
      </c>
      <c r="X58" s="374">
        <f t="shared" si="2"/>
        <v>0</v>
      </c>
      <c r="Y58" s="670">
        <f t="shared" si="3"/>
        <v>0</v>
      </c>
      <c r="Z58" s="706"/>
      <c r="AA58" s="704"/>
      <c r="AB58" s="120"/>
      <c r="AC58" s="120" t="s">
        <v>2050</v>
      </c>
      <c r="AD58" s="57" t="str">
        <f>IF(Q58="","",IF(Q58='G-1 All Habitats'!$X$3,E58-T58-U58,"None"))</f>
        <v>None</v>
      </c>
      <c r="AE58" s="58" t="str">
        <f>IF(Q58="","", IF(Q58='G-1 All Habitats'!$X$3, AD58*G58*I58*L58*N58*P58,"None"))</f>
        <v>None</v>
      </c>
      <c r="AH58" s="30">
        <f t="shared" si="4"/>
        <v>0</v>
      </c>
      <c r="AI58" s="124" t="b">
        <f t="shared" si="5"/>
        <v>0</v>
      </c>
      <c r="AJ58" s="124" t="b">
        <f t="shared" si="6"/>
        <v>1</v>
      </c>
      <c r="AL58" s="124">
        <v>49</v>
      </c>
      <c r="AN58" s="124" t="str">
        <f t="array" ref="AN58">IFERROR(INDEX($AL$10:$AL$258, MATCH(0, IF(TRUE=$AI$10:$AI$258, COUNTIF($AN$9:$AN57, $AL$10:$AL$258), ""), 0)),"")</f>
        <v/>
      </c>
      <c r="AO58" s="124">
        <f t="array" ref="AO58">IFERROR(INDEX($AL$10:$AL$258, MATCH(0, IF(TRUE=$AJ$10:$AJ$258, COUNTIF($AO$9:$AO57, $AL$10:$AL$258), ""), 0)),"")</f>
        <v>54</v>
      </c>
      <c r="AQ58" s="30" t="str">
        <f>IFERROR(INDEX('G-7 WaterC'' Data'!$AZ$3:$AZ$7,MATCH(D58,'G-7 WaterC'' Data'!$AY$3:$AY$7,0)),"")</f>
        <v>Rivercond1</v>
      </c>
      <c r="AR58" s="30" t="str">
        <f>IFERROR(INDEX('G-7 WaterC'' Data'!AZ58:AZ62,MATCH(D58,'G-7 WaterC'' Data'!$AY$10:$AY$14,0)),"")</f>
        <v/>
      </c>
    </row>
    <row r="59" spans="3:44" ht="28.5" x14ac:dyDescent="0.2">
      <c r="C59" s="110">
        <v>50</v>
      </c>
      <c r="D59" s="338" t="s">
        <v>198</v>
      </c>
      <c r="E59" s="139">
        <v>6.6351325868305278E-2</v>
      </c>
      <c r="F59" s="362" t="str">
        <f>IF(D59="","",VLOOKUP(D59,'G-7 WaterC'' Data'!$B$2:$G$8,2,FALSE))</f>
        <v>Medium</v>
      </c>
      <c r="G59" s="363">
        <f>IFERROR(VLOOKUP(F59,'G-7 WaterC'' Data'!$C$4:$D$8,2,FALSE),"")</f>
        <v>4</v>
      </c>
      <c r="H59" s="114" t="s">
        <v>329</v>
      </c>
      <c r="I59" s="363">
        <f>IFERROR(INDEX('G-7 WaterC'' Data'!$H$4:$L$8,MATCH(D59,'G-7 WaterC'' Data'!$B$4:$B$8,0),MATCH(H59,'G-7 WaterC'' Data'!$H$3:$L$3,0)),"")</f>
        <v>1</v>
      </c>
      <c r="J59" s="320" t="s">
        <v>1037</v>
      </c>
      <c r="K59" s="398" t="str">
        <f>IF(J59="","",IF(VLOOKUP(J59,'G-7 WaterC'' Data'!$AK$4:$AM$6,2,FALSE)=0,"Spatial Data Missing ⚠",VLOOKUP(J59,'G-7 WaterC'' Data'!$AK$4:$AM$6,2,FALSE)))</f>
        <v>Low Strategic Significance</v>
      </c>
      <c r="L59" s="368">
        <f>IF(J59="","",IF(VLOOKUP(J59,'G-7 WaterC'' Data'!$AK$4:$AM$9,3,FALSE)=0,"Spatial Data Missing ⚠",VLOOKUP(J59,'G-7 WaterC'' Data'!$AK$4:$AM$6,3,FALSE)))</f>
        <v>1</v>
      </c>
      <c r="M59" s="54" t="s">
        <v>1126</v>
      </c>
      <c r="N59" s="363">
        <f>IF(M59="","",IF(VLOOKUP(M59,'G-7 WaterC'' Data'!$AA$4:$AB$7,2,FALSE)=0,"Spatial Data Missing ⚠",VLOOKUP(M59,'G-7 WaterC'' Data'!$AA$4:$AB$7,2,FALSE)))</f>
        <v>1</v>
      </c>
      <c r="O59" s="60" t="s">
        <v>1127</v>
      </c>
      <c r="P59" s="363">
        <f>IF(O59="","",IF(VLOOKUP(O59,'G-7 WaterC'' Data'!$AD$4:$AE$14,2,FALSE)=0,"Spatial Data Missing ⚠",VLOOKUP(O59,'G-7 WaterC'' Data'!$AD$4:$AE$14,2,FALSE)))</f>
        <v>0.75</v>
      </c>
      <c r="Q59" s="369" t="str">
        <f>IF(D59="","",VLOOKUP(D59,'G-7 WaterC'' Data'!$B$2:$G$8,6,FALSE))</f>
        <v>Same habitat required =</v>
      </c>
      <c r="R59" s="376">
        <f>IFERROR(IF(D59="","",IF(AND(Q59='G-1 All Habitats'!$X$3,U59&gt;0),V59+W59,IF(AND(Q59='G-1 All Habitats'!$X$3,T59&gt;0),V59+W59,IF(AND(Q59='G-1 All Habitats'!$X$3,AD59&gt;0),"Any Loss Unacceptable ⚠",IF(AND(Q59='G-1 All Habitats'!$X$3,AE59&gt;0),"Any Loss Unacceptable ⚠", E59*G59*I59*L59*N59*P59 ))))),"Check Data ▲")</f>
        <v>0.19905397760491583</v>
      </c>
      <c r="S59" s="32"/>
      <c r="T59" s="114">
        <v>0</v>
      </c>
      <c r="U59" s="125">
        <v>6.6351325868305278E-2</v>
      </c>
      <c r="V59" s="374">
        <f t="shared" si="0"/>
        <v>0</v>
      </c>
      <c r="W59" s="374">
        <f t="shared" si="1"/>
        <v>0.19905397760491583</v>
      </c>
      <c r="X59" s="374">
        <f t="shared" si="2"/>
        <v>0</v>
      </c>
      <c r="Y59" s="670">
        <f t="shared" si="3"/>
        <v>0</v>
      </c>
      <c r="Z59" s="706"/>
      <c r="AA59" s="704"/>
      <c r="AB59" s="120"/>
      <c r="AC59" s="120" t="s">
        <v>2051</v>
      </c>
      <c r="AD59" s="57" t="str">
        <f>IF(Q59="","",IF(Q59='G-1 All Habitats'!$X$3,E59-T59-U59,"None"))</f>
        <v>None</v>
      </c>
      <c r="AE59" s="58" t="str">
        <f>IF(Q59="","", IF(Q59='G-1 All Habitats'!$X$3, AD59*G59*I59*L59*N59*P59,"None"))</f>
        <v>None</v>
      </c>
      <c r="AH59" s="30">
        <f t="shared" si="4"/>
        <v>0</v>
      </c>
      <c r="AI59" s="124" t="b">
        <f t="shared" si="5"/>
        <v>0</v>
      </c>
      <c r="AJ59" s="124" t="b">
        <f t="shared" si="6"/>
        <v>1</v>
      </c>
      <c r="AL59" s="124">
        <v>50</v>
      </c>
      <c r="AN59" s="124" t="str">
        <f t="array" ref="AN59">IFERROR(INDEX($AL$10:$AL$258, MATCH(0, IF(TRUE=$AI$10:$AI$258, COUNTIF($AN$9:$AN58, $AL$10:$AL$258), ""), 0)),"")</f>
        <v/>
      </c>
      <c r="AO59" s="124">
        <f t="array" ref="AO59">IFERROR(INDEX($AL$10:$AL$258, MATCH(0, IF(TRUE=$AJ$10:$AJ$258, COUNTIF($AO$9:$AO58, $AL$10:$AL$258), ""), 0)),"")</f>
        <v>55</v>
      </c>
      <c r="AQ59" s="30" t="str">
        <f>IFERROR(INDEX('G-7 WaterC'' Data'!$AZ$3:$AZ$7,MATCH(D59,'G-7 WaterC'' Data'!$AY$3:$AY$7,0)),"")</f>
        <v>Rivercond1</v>
      </c>
      <c r="AR59" s="30" t="str">
        <f>IFERROR(INDEX('G-7 WaterC'' Data'!AZ59:AZ63,MATCH(D59,'G-7 WaterC'' Data'!$AY$10:$AY$14,0)),"")</f>
        <v/>
      </c>
    </row>
    <row r="60" spans="3:44" ht="28.5" x14ac:dyDescent="0.2">
      <c r="C60" s="110">
        <v>51</v>
      </c>
      <c r="D60" s="338" t="s">
        <v>198</v>
      </c>
      <c r="E60" s="139">
        <v>0.37223848034557527</v>
      </c>
      <c r="F60" s="362" t="str">
        <f>IF(D60="","",VLOOKUP(D60,'G-7 WaterC'' Data'!$B$2:$G$8,2,FALSE))</f>
        <v>Medium</v>
      </c>
      <c r="G60" s="363">
        <f>IFERROR(VLOOKUP(F60,'G-7 WaterC'' Data'!$C$4:$D$8,2,FALSE),"")</f>
        <v>4</v>
      </c>
      <c r="H60" s="114" t="s">
        <v>329</v>
      </c>
      <c r="I60" s="363">
        <f>IFERROR(INDEX('G-7 WaterC'' Data'!$H$4:$L$8,MATCH(D60,'G-7 WaterC'' Data'!$B$4:$B$8,0),MATCH(H60,'G-7 WaterC'' Data'!$H$3:$L$3,0)),"")</f>
        <v>1</v>
      </c>
      <c r="J60" s="320" t="s">
        <v>1029</v>
      </c>
      <c r="K60" s="398" t="str">
        <f>IF(J60="","",IF(VLOOKUP(J60,'G-7 WaterC'' Data'!$AK$4:$AM$6,2,FALSE)=0,"Spatial Data Missing ⚠",VLOOKUP(J60,'G-7 WaterC'' Data'!$AK$4:$AM$6,2,FALSE)))</f>
        <v xml:space="preserve">High strategic significance </v>
      </c>
      <c r="L60" s="368">
        <f>IF(J60="","",IF(VLOOKUP(J60,'G-7 WaterC'' Data'!$AK$4:$AM$9,3,FALSE)=0,"Spatial Data Missing ⚠",VLOOKUP(J60,'G-7 WaterC'' Data'!$AK$4:$AM$6,3,FALSE)))</f>
        <v>1.1499999999999999</v>
      </c>
      <c r="M60" s="54" t="s">
        <v>1126</v>
      </c>
      <c r="N60" s="363">
        <f>IF(M60="","",IF(VLOOKUP(M60,'G-7 WaterC'' Data'!$AA$4:$AB$7,2,FALSE)=0,"Spatial Data Missing ⚠",VLOOKUP(M60,'G-7 WaterC'' Data'!$AA$4:$AB$7,2,FALSE)))</f>
        <v>1</v>
      </c>
      <c r="O60" s="60" t="s">
        <v>1127</v>
      </c>
      <c r="P60" s="363">
        <f>IF(O60="","",IF(VLOOKUP(O60,'G-7 WaterC'' Data'!$AD$4:$AE$14,2,FALSE)=0,"Spatial Data Missing ⚠",VLOOKUP(O60,'G-7 WaterC'' Data'!$AD$4:$AE$14,2,FALSE)))</f>
        <v>0.75</v>
      </c>
      <c r="Q60" s="369" t="str">
        <f>IF(D60="","",VLOOKUP(D60,'G-7 WaterC'' Data'!$B$2:$G$8,6,FALSE))</f>
        <v>Same habitat required =</v>
      </c>
      <c r="R60" s="376">
        <f>IFERROR(IF(D60="","",IF(AND(Q60='G-1 All Habitats'!$X$3,U60&gt;0),V60+W60,IF(AND(Q60='G-1 All Habitats'!$X$3,T60&gt;0),V60+W60,IF(AND(Q60='G-1 All Habitats'!$X$3,AD60&gt;0),"Any Loss Unacceptable ⚠",IF(AND(Q60='G-1 All Habitats'!$X$3,AE60&gt;0),"Any Loss Unacceptable ⚠", E60*G60*I60*L60*N60*P60 ))))),"Check Data ▲")</f>
        <v>1.2842227571922347</v>
      </c>
      <c r="S60" s="32"/>
      <c r="T60" s="114">
        <v>0</v>
      </c>
      <c r="U60" s="125">
        <v>0.37223848034557527</v>
      </c>
      <c r="V60" s="374">
        <f t="shared" si="0"/>
        <v>0</v>
      </c>
      <c r="W60" s="374">
        <f t="shared" si="1"/>
        <v>1.2842227571922347</v>
      </c>
      <c r="X60" s="374">
        <f t="shared" si="2"/>
        <v>0</v>
      </c>
      <c r="Y60" s="670">
        <f t="shared" si="3"/>
        <v>0</v>
      </c>
      <c r="Z60" s="706"/>
      <c r="AA60" s="704"/>
      <c r="AB60" s="120"/>
      <c r="AC60" s="120" t="s">
        <v>2052</v>
      </c>
      <c r="AD60" s="57" t="str">
        <f>IF(Q60="","",IF(Q60='G-1 All Habitats'!$X$3,E60-T60-U60,"None"))</f>
        <v>None</v>
      </c>
      <c r="AE60" s="58" t="str">
        <f>IF(Q60="","", IF(Q60='G-1 All Habitats'!$X$3, AD60*G60*I60*L60*N60*P60,"None"))</f>
        <v>None</v>
      </c>
      <c r="AH60" s="30">
        <f t="shared" si="4"/>
        <v>0</v>
      </c>
      <c r="AI60" s="124" t="b">
        <f t="shared" si="5"/>
        <v>0</v>
      </c>
      <c r="AJ60" s="124" t="b">
        <f t="shared" si="6"/>
        <v>1</v>
      </c>
      <c r="AL60" s="124">
        <v>51</v>
      </c>
      <c r="AN60" s="124" t="str">
        <f t="array" ref="AN60">IFERROR(INDEX($AL$10:$AL$258, MATCH(0, IF(TRUE=$AI$10:$AI$258, COUNTIF($AN$9:$AN59, $AL$10:$AL$258), ""), 0)),"")</f>
        <v/>
      </c>
      <c r="AO60" s="124">
        <f t="array" ref="AO60">IFERROR(INDEX($AL$10:$AL$258, MATCH(0, IF(TRUE=$AJ$10:$AJ$258, COUNTIF($AO$9:$AO59, $AL$10:$AL$258), ""), 0)),"")</f>
        <v>56</v>
      </c>
      <c r="AQ60" s="30" t="str">
        <f>IFERROR(INDEX('G-7 WaterC'' Data'!$AZ$3:$AZ$7,MATCH(D60,'G-7 WaterC'' Data'!$AY$3:$AY$7,0)),"")</f>
        <v>Rivercond1</v>
      </c>
      <c r="AR60" s="30" t="str">
        <f>IFERROR(INDEX('G-7 WaterC'' Data'!AZ60:AZ64,MATCH(D60,'G-7 WaterC'' Data'!$AY$10:$AY$14,0)),"")</f>
        <v/>
      </c>
    </row>
    <row r="61" spans="3:44" ht="28.5" x14ac:dyDescent="0.2">
      <c r="C61" s="110">
        <v>52</v>
      </c>
      <c r="D61" s="338" t="s">
        <v>198</v>
      </c>
      <c r="E61" s="139">
        <v>0.43216254065906151</v>
      </c>
      <c r="F61" s="362" t="str">
        <f>IF(D61="","",VLOOKUP(D61,'G-7 WaterC'' Data'!$B$2:$G$8,2,FALSE))</f>
        <v>Medium</v>
      </c>
      <c r="G61" s="363">
        <f>IFERROR(VLOOKUP(F61,'G-7 WaterC'' Data'!$C$4:$D$8,2,FALSE),"")</f>
        <v>4</v>
      </c>
      <c r="H61" s="114" t="s">
        <v>329</v>
      </c>
      <c r="I61" s="363">
        <f>IFERROR(INDEX('G-7 WaterC'' Data'!$H$4:$L$8,MATCH(D61,'G-7 WaterC'' Data'!$B$4:$B$8,0),MATCH(H61,'G-7 WaterC'' Data'!$H$3:$L$3,0)),"")</f>
        <v>1</v>
      </c>
      <c r="J61" s="320" t="s">
        <v>1037</v>
      </c>
      <c r="K61" s="398" t="str">
        <f>IF(J61="","",IF(VLOOKUP(J61,'G-7 WaterC'' Data'!$AK$4:$AM$6,2,FALSE)=0,"Spatial Data Missing ⚠",VLOOKUP(J61,'G-7 WaterC'' Data'!$AK$4:$AM$6,2,FALSE)))</f>
        <v>Low Strategic Significance</v>
      </c>
      <c r="L61" s="368">
        <f>IF(J61="","",IF(VLOOKUP(J61,'G-7 WaterC'' Data'!$AK$4:$AM$9,3,FALSE)=0,"Spatial Data Missing ⚠",VLOOKUP(J61,'G-7 WaterC'' Data'!$AK$4:$AM$6,3,FALSE)))</f>
        <v>1</v>
      </c>
      <c r="M61" s="54" t="s">
        <v>1126</v>
      </c>
      <c r="N61" s="363">
        <f>IF(M61="","",IF(VLOOKUP(M61,'G-7 WaterC'' Data'!$AA$4:$AB$7,2,FALSE)=0,"Spatial Data Missing ⚠",VLOOKUP(M61,'G-7 WaterC'' Data'!$AA$4:$AB$7,2,FALSE)))</f>
        <v>1</v>
      </c>
      <c r="O61" s="60" t="s">
        <v>1127</v>
      </c>
      <c r="P61" s="363">
        <f>IF(O61="","",IF(VLOOKUP(O61,'G-7 WaterC'' Data'!$AD$4:$AE$14,2,FALSE)=0,"Spatial Data Missing ⚠",VLOOKUP(O61,'G-7 WaterC'' Data'!$AD$4:$AE$14,2,FALSE)))</f>
        <v>0.75</v>
      </c>
      <c r="Q61" s="369" t="str">
        <f>IF(D61="","",VLOOKUP(D61,'G-7 WaterC'' Data'!$B$2:$G$8,6,FALSE))</f>
        <v>Same habitat required =</v>
      </c>
      <c r="R61" s="376">
        <f>IFERROR(IF(D61="","",IF(AND(Q61='G-1 All Habitats'!$X$3,U61&gt;0),V61+W61,IF(AND(Q61='G-1 All Habitats'!$X$3,T61&gt;0),V61+W61,IF(AND(Q61='G-1 All Habitats'!$X$3,AD61&gt;0),"Any Loss Unacceptable ⚠",IF(AND(Q61='G-1 All Habitats'!$X$3,AE61&gt;0),"Any Loss Unacceptable ⚠", E61*G61*I61*L61*N61*P61 ))))),"Check Data ▲")</f>
        <v>1.2964876219771846</v>
      </c>
      <c r="S61" s="32"/>
      <c r="T61" s="114">
        <v>0</v>
      </c>
      <c r="U61" s="125">
        <v>0.43216254065906151</v>
      </c>
      <c r="V61" s="374">
        <f t="shared" si="0"/>
        <v>0</v>
      </c>
      <c r="W61" s="374">
        <f t="shared" si="1"/>
        <v>1.2964876219771846</v>
      </c>
      <c r="X61" s="374">
        <f t="shared" si="2"/>
        <v>0</v>
      </c>
      <c r="Y61" s="670">
        <f t="shared" si="3"/>
        <v>0</v>
      </c>
      <c r="Z61" s="706"/>
      <c r="AA61" s="704"/>
      <c r="AB61" s="120"/>
      <c r="AC61" s="120" t="s">
        <v>2053</v>
      </c>
      <c r="AD61" s="57" t="str">
        <f>IF(Q61="","",IF(Q61='G-1 All Habitats'!$X$3,E61-T61-U61,"None"))</f>
        <v>None</v>
      </c>
      <c r="AE61" s="58" t="str">
        <f>IF(Q61="","", IF(Q61='G-1 All Habitats'!$X$3, AD61*G61*I61*L61*N61*P61,"None"))</f>
        <v>None</v>
      </c>
      <c r="AH61" s="30">
        <f t="shared" si="4"/>
        <v>0</v>
      </c>
      <c r="AI61" s="124" t="b">
        <f t="shared" si="5"/>
        <v>0</v>
      </c>
      <c r="AJ61" s="124" t="b">
        <f t="shared" si="6"/>
        <v>1</v>
      </c>
      <c r="AL61" s="124">
        <v>52</v>
      </c>
      <c r="AN61" s="124" t="str">
        <f t="array" ref="AN61">IFERROR(INDEX($AL$10:$AL$258, MATCH(0, IF(TRUE=$AI$10:$AI$258, COUNTIF($AN$9:$AN60, $AL$10:$AL$258), ""), 0)),"")</f>
        <v/>
      </c>
      <c r="AO61" s="124">
        <f t="array" ref="AO61">IFERROR(INDEX($AL$10:$AL$258, MATCH(0, IF(TRUE=$AJ$10:$AJ$258, COUNTIF($AO$9:$AO60, $AL$10:$AL$258), ""), 0)),"")</f>
        <v>57</v>
      </c>
      <c r="AQ61" s="30" t="str">
        <f>IFERROR(INDEX('G-7 WaterC'' Data'!$AZ$3:$AZ$7,MATCH(D61,'G-7 WaterC'' Data'!$AY$3:$AY$7,0)),"")</f>
        <v>Rivercond1</v>
      </c>
      <c r="AR61" s="30" t="str">
        <f>IFERROR(INDEX('G-7 WaterC'' Data'!AZ61:AZ65,MATCH(D61,'G-7 WaterC'' Data'!$AY$10:$AY$14,0)),"")</f>
        <v/>
      </c>
    </row>
    <row r="62" spans="3:44" ht="28.5" x14ac:dyDescent="0.2">
      <c r="C62" s="110">
        <v>53</v>
      </c>
      <c r="D62" s="338" t="s">
        <v>198</v>
      </c>
      <c r="E62" s="139">
        <v>8.8768692715044935E-4</v>
      </c>
      <c r="F62" s="362" t="str">
        <f>IF(D62="","",VLOOKUP(D62,'G-7 WaterC'' Data'!$B$2:$G$8,2,FALSE))</f>
        <v>Medium</v>
      </c>
      <c r="G62" s="363">
        <f>IFERROR(VLOOKUP(F62,'G-7 WaterC'' Data'!$C$4:$D$8,2,FALSE),"")</f>
        <v>4</v>
      </c>
      <c r="H62" s="114" t="s">
        <v>329</v>
      </c>
      <c r="I62" s="363">
        <f>IFERROR(INDEX('G-7 WaterC'' Data'!$H$4:$L$8,MATCH(D62,'G-7 WaterC'' Data'!$B$4:$B$8,0),MATCH(H62,'G-7 WaterC'' Data'!$H$3:$L$3,0)),"")</f>
        <v>1</v>
      </c>
      <c r="J62" s="320" t="s">
        <v>1029</v>
      </c>
      <c r="K62" s="398" t="str">
        <f>IF(J62="","",IF(VLOOKUP(J62,'G-7 WaterC'' Data'!$AK$4:$AM$6,2,FALSE)=0,"Spatial Data Missing ⚠",VLOOKUP(J62,'G-7 WaterC'' Data'!$AK$4:$AM$6,2,FALSE)))</f>
        <v xml:space="preserve">High strategic significance </v>
      </c>
      <c r="L62" s="368">
        <f>IF(J62="","",IF(VLOOKUP(J62,'G-7 WaterC'' Data'!$AK$4:$AM$9,3,FALSE)=0,"Spatial Data Missing ⚠",VLOOKUP(J62,'G-7 WaterC'' Data'!$AK$4:$AM$6,3,FALSE)))</f>
        <v>1.1499999999999999</v>
      </c>
      <c r="M62" s="54" t="s">
        <v>1126</v>
      </c>
      <c r="N62" s="363">
        <f>IF(M62="","",IF(VLOOKUP(M62,'G-7 WaterC'' Data'!$AA$4:$AB$7,2,FALSE)=0,"Spatial Data Missing ⚠",VLOOKUP(M62,'G-7 WaterC'' Data'!$AA$4:$AB$7,2,FALSE)))</f>
        <v>1</v>
      </c>
      <c r="O62" s="60" t="s">
        <v>1127</v>
      </c>
      <c r="P62" s="363">
        <f>IF(O62="","",IF(VLOOKUP(O62,'G-7 WaterC'' Data'!$AD$4:$AE$14,2,FALSE)=0,"Spatial Data Missing ⚠",VLOOKUP(O62,'G-7 WaterC'' Data'!$AD$4:$AE$14,2,FALSE)))</f>
        <v>0.75</v>
      </c>
      <c r="Q62" s="369" t="str">
        <f>IF(D62="","",VLOOKUP(D62,'G-7 WaterC'' Data'!$B$2:$G$8,6,FALSE))</f>
        <v>Same habitat required =</v>
      </c>
      <c r="R62" s="376">
        <f>IFERROR(IF(D62="","",IF(AND(Q62='G-1 All Habitats'!$X$3,U62&gt;0),V62+W62,IF(AND(Q62='G-1 All Habitats'!$X$3,T62&gt;0),V62+W62,IF(AND(Q62='G-1 All Habitats'!$X$3,AD62&gt;0),"Any Loss Unacceptable ⚠",IF(AND(Q62='G-1 All Habitats'!$X$3,AE62&gt;0),"Any Loss Unacceptable ⚠", E62*G62*I62*L62*N62*P62 ))))),"Check Data ▲")</f>
        <v>3.0625198986690503E-3</v>
      </c>
      <c r="S62" s="32"/>
      <c r="T62" s="114">
        <v>0</v>
      </c>
      <c r="U62" s="125">
        <v>8.8768692715044935E-4</v>
      </c>
      <c r="V62" s="374">
        <f t="shared" si="0"/>
        <v>0</v>
      </c>
      <c r="W62" s="374">
        <f t="shared" si="1"/>
        <v>3.0625198986690503E-3</v>
      </c>
      <c r="X62" s="374">
        <f t="shared" si="2"/>
        <v>0</v>
      </c>
      <c r="Y62" s="670">
        <f t="shared" si="3"/>
        <v>0</v>
      </c>
      <c r="Z62" s="706"/>
      <c r="AA62" s="704"/>
      <c r="AB62" s="120"/>
      <c r="AC62" s="120" t="s">
        <v>2054</v>
      </c>
      <c r="AD62" s="57" t="str">
        <f>IF(Q62="","",IF(Q62='G-1 All Habitats'!$X$3,E62-T62-U62,"None"))</f>
        <v>None</v>
      </c>
      <c r="AE62" s="58" t="str">
        <f>IF(Q62="","", IF(Q62='G-1 All Habitats'!$X$3, AD62*G62*I62*L62*N62*P62,"None"))</f>
        <v>None</v>
      </c>
      <c r="AH62" s="30">
        <f t="shared" si="4"/>
        <v>0</v>
      </c>
      <c r="AI62" s="124" t="b">
        <f t="shared" si="5"/>
        <v>0</v>
      </c>
      <c r="AJ62" s="124" t="b">
        <f t="shared" si="6"/>
        <v>1</v>
      </c>
      <c r="AL62" s="124">
        <v>53</v>
      </c>
      <c r="AN62" s="124" t="str">
        <f t="array" ref="AN62">IFERROR(INDEX($AL$10:$AL$258, MATCH(0, IF(TRUE=$AI$10:$AI$258, COUNTIF($AN$9:$AN61, $AL$10:$AL$258), ""), 0)),"")</f>
        <v/>
      </c>
      <c r="AO62" s="124">
        <f t="array" ref="AO62">IFERROR(INDEX($AL$10:$AL$258, MATCH(0, IF(TRUE=$AJ$10:$AJ$258, COUNTIF($AO$9:$AO61, $AL$10:$AL$258), ""), 0)),"")</f>
        <v>58</v>
      </c>
      <c r="AQ62" s="30" t="str">
        <f>IFERROR(INDEX('G-7 WaterC'' Data'!$AZ$3:$AZ$7,MATCH(D62,'G-7 WaterC'' Data'!$AY$3:$AY$7,0)),"")</f>
        <v>Rivercond1</v>
      </c>
      <c r="AR62" s="30" t="str">
        <f>IFERROR(INDEX('G-7 WaterC'' Data'!AZ62:AZ66,MATCH(D62,'G-7 WaterC'' Data'!$AY$10:$AY$14,0)),"")</f>
        <v/>
      </c>
    </row>
    <row r="63" spans="3:44" ht="28.5" x14ac:dyDescent="0.2">
      <c r="C63" s="110">
        <v>54</v>
      </c>
      <c r="D63" s="338" t="s">
        <v>198</v>
      </c>
      <c r="E63" s="139">
        <v>0.23762175421708309</v>
      </c>
      <c r="F63" s="362" t="str">
        <f>IF(D63="","",VLOOKUP(D63,'G-7 WaterC'' Data'!$B$2:$G$8,2,FALSE))</f>
        <v>Medium</v>
      </c>
      <c r="G63" s="363">
        <f>IFERROR(VLOOKUP(F63,'G-7 WaterC'' Data'!$C$4:$D$8,2,FALSE),"")</f>
        <v>4</v>
      </c>
      <c r="H63" s="114" t="s">
        <v>329</v>
      </c>
      <c r="I63" s="363">
        <f>IFERROR(INDEX('G-7 WaterC'' Data'!$H$4:$L$8,MATCH(D63,'G-7 WaterC'' Data'!$B$4:$B$8,0),MATCH(H63,'G-7 WaterC'' Data'!$H$3:$L$3,0)),"")</f>
        <v>1</v>
      </c>
      <c r="J63" s="320" t="s">
        <v>1037</v>
      </c>
      <c r="K63" s="398" t="str">
        <f>IF(J63="","",IF(VLOOKUP(J63,'G-7 WaterC'' Data'!$AK$4:$AM$6,2,FALSE)=0,"Spatial Data Missing ⚠",VLOOKUP(J63,'G-7 WaterC'' Data'!$AK$4:$AM$6,2,FALSE)))</f>
        <v>Low Strategic Significance</v>
      </c>
      <c r="L63" s="368">
        <f>IF(J63="","",IF(VLOOKUP(J63,'G-7 WaterC'' Data'!$AK$4:$AM$9,3,FALSE)=0,"Spatial Data Missing ⚠",VLOOKUP(J63,'G-7 WaterC'' Data'!$AK$4:$AM$6,3,FALSE)))</f>
        <v>1</v>
      </c>
      <c r="M63" s="54" t="s">
        <v>1126</v>
      </c>
      <c r="N63" s="363">
        <f>IF(M63="","",IF(VLOOKUP(M63,'G-7 WaterC'' Data'!$AA$4:$AB$7,2,FALSE)=0,"Spatial Data Missing ⚠",VLOOKUP(M63,'G-7 WaterC'' Data'!$AA$4:$AB$7,2,FALSE)))</f>
        <v>1</v>
      </c>
      <c r="O63" s="60" t="s">
        <v>1127</v>
      </c>
      <c r="P63" s="363">
        <f>IF(O63="","",IF(VLOOKUP(O63,'G-7 WaterC'' Data'!$AD$4:$AE$14,2,FALSE)=0,"Spatial Data Missing ⚠",VLOOKUP(O63,'G-7 WaterC'' Data'!$AD$4:$AE$14,2,FALSE)))</f>
        <v>0.75</v>
      </c>
      <c r="Q63" s="369" t="str">
        <f>IF(D63="","",VLOOKUP(D63,'G-7 WaterC'' Data'!$B$2:$G$8,6,FALSE))</f>
        <v>Same habitat required =</v>
      </c>
      <c r="R63" s="376">
        <f>IFERROR(IF(D63="","",IF(AND(Q63='G-1 All Habitats'!$X$3,U63&gt;0),V63+W63,IF(AND(Q63='G-1 All Habitats'!$X$3,T63&gt;0),V63+W63,IF(AND(Q63='G-1 All Habitats'!$X$3,AD63&gt;0),"Any Loss Unacceptable ⚠",IF(AND(Q63='G-1 All Habitats'!$X$3,AE63&gt;0),"Any Loss Unacceptable ⚠", E63*G63*I63*L63*N63*P63 ))))),"Check Data ▲")</f>
        <v>0.71286526265124928</v>
      </c>
      <c r="S63" s="32"/>
      <c r="T63" s="114">
        <v>0</v>
      </c>
      <c r="U63" s="125">
        <v>0.23762175421708309</v>
      </c>
      <c r="V63" s="374">
        <f t="shared" si="0"/>
        <v>0</v>
      </c>
      <c r="W63" s="374">
        <f t="shared" si="1"/>
        <v>0.71286526265124928</v>
      </c>
      <c r="X63" s="374">
        <f t="shared" si="2"/>
        <v>0</v>
      </c>
      <c r="Y63" s="670">
        <f t="shared" si="3"/>
        <v>0</v>
      </c>
      <c r="Z63" s="706"/>
      <c r="AA63" s="704"/>
      <c r="AB63" s="120"/>
      <c r="AC63" s="120" t="s">
        <v>2055</v>
      </c>
      <c r="AD63" s="57" t="str">
        <f>IF(Q63="","",IF(Q63='G-1 All Habitats'!$X$3,E63-T63-U63,"None"))</f>
        <v>None</v>
      </c>
      <c r="AE63" s="58" t="str">
        <f>IF(Q63="","", IF(Q63='G-1 All Habitats'!$X$3, AD63*G63*I63*L63*N63*P63,"None"))</f>
        <v>None</v>
      </c>
      <c r="AH63" s="30">
        <f t="shared" si="4"/>
        <v>0</v>
      </c>
      <c r="AI63" s="124" t="b">
        <f t="shared" si="5"/>
        <v>0</v>
      </c>
      <c r="AJ63" s="124" t="b">
        <f t="shared" si="6"/>
        <v>1</v>
      </c>
      <c r="AL63" s="124">
        <v>54</v>
      </c>
      <c r="AN63" s="124" t="str">
        <f t="array" ref="AN63">IFERROR(INDEX($AL$10:$AL$258, MATCH(0, IF(TRUE=$AI$10:$AI$258, COUNTIF($AN$9:$AN62, $AL$10:$AL$258), ""), 0)),"")</f>
        <v/>
      </c>
      <c r="AO63" s="124">
        <f t="array" ref="AO63">IFERROR(INDEX($AL$10:$AL$258, MATCH(0, IF(TRUE=$AJ$10:$AJ$258, COUNTIF($AO$9:$AO62, $AL$10:$AL$258), ""), 0)),"")</f>
        <v>59</v>
      </c>
      <c r="AQ63" s="30" t="str">
        <f>IFERROR(INDEX('G-7 WaterC'' Data'!$AZ$3:$AZ$7,MATCH(D63,'G-7 WaterC'' Data'!$AY$3:$AY$7,0)),"")</f>
        <v>Rivercond1</v>
      </c>
      <c r="AR63" s="30" t="str">
        <f>IFERROR(INDEX('G-7 WaterC'' Data'!AZ63:AZ67,MATCH(D63,'G-7 WaterC'' Data'!$AY$10:$AY$14,0)),"")</f>
        <v/>
      </c>
    </row>
    <row r="64" spans="3:44" ht="28.5" x14ac:dyDescent="0.2">
      <c r="C64" s="110">
        <v>55</v>
      </c>
      <c r="D64" s="338" t="s">
        <v>198</v>
      </c>
      <c r="E64" s="139">
        <v>4.2729409056249191E-4</v>
      </c>
      <c r="F64" s="362" t="str">
        <f>IF(D64="","",VLOOKUP(D64,'G-7 WaterC'' Data'!$B$2:$G$8,2,FALSE))</f>
        <v>Medium</v>
      </c>
      <c r="G64" s="363">
        <f>IFERROR(VLOOKUP(F64,'G-7 WaterC'' Data'!$C$4:$D$8,2,FALSE),"")</f>
        <v>4</v>
      </c>
      <c r="H64" s="114" t="s">
        <v>329</v>
      </c>
      <c r="I64" s="363">
        <f>IFERROR(INDEX('G-7 WaterC'' Data'!$H$4:$L$8,MATCH(D64,'G-7 WaterC'' Data'!$B$4:$B$8,0),MATCH(H64,'G-7 WaterC'' Data'!$H$3:$L$3,0)),"")</f>
        <v>1</v>
      </c>
      <c r="J64" s="320" t="s">
        <v>1029</v>
      </c>
      <c r="K64" s="398" t="str">
        <f>IF(J64="","",IF(VLOOKUP(J64,'G-7 WaterC'' Data'!$AK$4:$AM$6,2,FALSE)=0,"Spatial Data Missing ⚠",VLOOKUP(J64,'G-7 WaterC'' Data'!$AK$4:$AM$6,2,FALSE)))</f>
        <v xml:space="preserve">High strategic significance </v>
      </c>
      <c r="L64" s="368">
        <f>IF(J64="","",IF(VLOOKUP(J64,'G-7 WaterC'' Data'!$AK$4:$AM$9,3,FALSE)=0,"Spatial Data Missing ⚠",VLOOKUP(J64,'G-7 WaterC'' Data'!$AK$4:$AM$6,3,FALSE)))</f>
        <v>1.1499999999999999</v>
      </c>
      <c r="M64" s="54" t="s">
        <v>1126</v>
      </c>
      <c r="N64" s="363">
        <f>IF(M64="","",IF(VLOOKUP(M64,'G-7 WaterC'' Data'!$AA$4:$AB$7,2,FALSE)=0,"Spatial Data Missing ⚠",VLOOKUP(M64,'G-7 WaterC'' Data'!$AA$4:$AB$7,2,FALSE)))</f>
        <v>1</v>
      </c>
      <c r="O64" s="60" t="s">
        <v>1127</v>
      </c>
      <c r="P64" s="363">
        <f>IF(O64="","",IF(VLOOKUP(O64,'G-7 WaterC'' Data'!$AD$4:$AE$14,2,FALSE)=0,"Spatial Data Missing ⚠",VLOOKUP(O64,'G-7 WaterC'' Data'!$AD$4:$AE$14,2,FALSE)))</f>
        <v>0.75</v>
      </c>
      <c r="Q64" s="369" t="str">
        <f>IF(D64="","",VLOOKUP(D64,'G-7 WaterC'' Data'!$B$2:$G$8,6,FALSE))</f>
        <v>Same habitat required =</v>
      </c>
      <c r="R64" s="376">
        <f>IFERROR(IF(D64="","",IF(AND(Q64='G-1 All Habitats'!$X$3,U64&gt;0),V64+W64,IF(AND(Q64='G-1 All Habitats'!$X$3,T64&gt;0),V64+W64,IF(AND(Q64='G-1 All Habitats'!$X$3,AD64&gt;0),"Any Loss Unacceptable ⚠",IF(AND(Q64='G-1 All Habitats'!$X$3,AE64&gt;0),"Any Loss Unacceptable ⚠", E64*G64*I64*L64*N64*P64 ))))),"Check Data ▲")</f>
        <v>1.474164612440597E-3</v>
      </c>
      <c r="S64" s="32"/>
      <c r="T64" s="114">
        <v>0</v>
      </c>
      <c r="U64" s="125">
        <v>4.2729409056249191E-4</v>
      </c>
      <c r="V64" s="374">
        <f t="shared" si="0"/>
        <v>0</v>
      </c>
      <c r="W64" s="374">
        <f t="shared" si="1"/>
        <v>1.474164612440597E-3</v>
      </c>
      <c r="X64" s="374">
        <f t="shared" si="2"/>
        <v>0</v>
      </c>
      <c r="Y64" s="670">
        <f t="shared" si="3"/>
        <v>0</v>
      </c>
      <c r="Z64" s="706"/>
      <c r="AA64" s="704"/>
      <c r="AB64" s="120"/>
      <c r="AC64" s="120" t="s">
        <v>2056</v>
      </c>
      <c r="AD64" s="57" t="str">
        <f>IF(Q64="","",IF(Q64='G-1 All Habitats'!$X$3,E64-T64-U64,"None"))</f>
        <v>None</v>
      </c>
      <c r="AE64" s="58" t="str">
        <f>IF(Q64="","", IF(Q64='G-1 All Habitats'!$X$3, AD64*G64*I64*L64*N64*P64,"None"))</f>
        <v>None</v>
      </c>
      <c r="AH64" s="30">
        <f t="shared" si="4"/>
        <v>0</v>
      </c>
      <c r="AI64" s="124" t="b">
        <f t="shared" si="5"/>
        <v>0</v>
      </c>
      <c r="AJ64" s="124" t="b">
        <f t="shared" si="6"/>
        <v>1</v>
      </c>
      <c r="AL64" s="124">
        <v>55</v>
      </c>
      <c r="AN64" s="124" t="str">
        <f t="array" ref="AN64">IFERROR(INDEX($AL$10:$AL$258, MATCH(0, IF(TRUE=$AI$10:$AI$258, COUNTIF($AN$9:$AN63, $AL$10:$AL$258), ""), 0)),"")</f>
        <v/>
      </c>
      <c r="AO64" s="124">
        <f t="array" ref="AO64">IFERROR(INDEX($AL$10:$AL$258, MATCH(0, IF(TRUE=$AJ$10:$AJ$258, COUNTIF($AO$9:$AO63, $AL$10:$AL$258), ""), 0)),"")</f>
        <v>60</v>
      </c>
      <c r="AQ64" s="30" t="str">
        <f>IFERROR(INDEX('G-7 WaterC'' Data'!$AZ$3:$AZ$7,MATCH(D64,'G-7 WaterC'' Data'!$AY$3:$AY$7,0)),"")</f>
        <v>Rivercond1</v>
      </c>
      <c r="AR64" s="30" t="str">
        <f>IFERROR(INDEX('G-7 WaterC'' Data'!AZ64:AZ68,MATCH(D64,'G-7 WaterC'' Data'!$AY$10:$AY$14,0)),"")</f>
        <v/>
      </c>
    </row>
    <row r="65" spans="3:44" ht="28.5" x14ac:dyDescent="0.2">
      <c r="C65" s="110">
        <v>56</v>
      </c>
      <c r="D65" s="338" t="s">
        <v>198</v>
      </c>
      <c r="E65" s="139">
        <v>0.42265771933003105</v>
      </c>
      <c r="F65" s="362" t="str">
        <f>IF(D65="","",VLOOKUP(D65,'G-7 WaterC'' Data'!$B$2:$G$8,2,FALSE))</f>
        <v>Medium</v>
      </c>
      <c r="G65" s="363">
        <f>IFERROR(VLOOKUP(F65,'G-7 WaterC'' Data'!$C$4:$D$8,2,FALSE),"")</f>
        <v>4</v>
      </c>
      <c r="H65" s="114" t="s">
        <v>329</v>
      </c>
      <c r="I65" s="363">
        <f>IFERROR(INDEX('G-7 WaterC'' Data'!$H$4:$L$8,MATCH(D65,'G-7 WaterC'' Data'!$B$4:$B$8,0),MATCH(H65,'G-7 WaterC'' Data'!$H$3:$L$3,0)),"")</f>
        <v>1</v>
      </c>
      <c r="J65" s="320" t="s">
        <v>1037</v>
      </c>
      <c r="K65" s="398" t="str">
        <f>IF(J65="","",IF(VLOOKUP(J65,'G-7 WaterC'' Data'!$AK$4:$AM$6,2,FALSE)=0,"Spatial Data Missing ⚠",VLOOKUP(J65,'G-7 WaterC'' Data'!$AK$4:$AM$6,2,FALSE)))</f>
        <v>Low Strategic Significance</v>
      </c>
      <c r="L65" s="368">
        <f>IF(J65="","",IF(VLOOKUP(J65,'G-7 WaterC'' Data'!$AK$4:$AM$9,3,FALSE)=0,"Spatial Data Missing ⚠",VLOOKUP(J65,'G-7 WaterC'' Data'!$AK$4:$AM$6,3,FALSE)))</f>
        <v>1</v>
      </c>
      <c r="M65" s="54" t="s">
        <v>1126</v>
      </c>
      <c r="N65" s="363">
        <f>IF(M65="","",IF(VLOOKUP(M65,'G-7 WaterC'' Data'!$AA$4:$AB$7,2,FALSE)=0,"Spatial Data Missing ⚠",VLOOKUP(M65,'G-7 WaterC'' Data'!$AA$4:$AB$7,2,FALSE)))</f>
        <v>1</v>
      </c>
      <c r="O65" s="60" t="s">
        <v>1127</v>
      </c>
      <c r="P65" s="363">
        <f>IF(O65="","",IF(VLOOKUP(O65,'G-7 WaterC'' Data'!$AD$4:$AE$14,2,FALSE)=0,"Spatial Data Missing ⚠",VLOOKUP(O65,'G-7 WaterC'' Data'!$AD$4:$AE$14,2,FALSE)))</f>
        <v>0.75</v>
      </c>
      <c r="Q65" s="369" t="str">
        <f>IF(D65="","",VLOOKUP(D65,'G-7 WaterC'' Data'!$B$2:$G$8,6,FALSE))</f>
        <v>Same habitat required =</v>
      </c>
      <c r="R65" s="376">
        <f>IFERROR(IF(D65="","",IF(AND(Q65='G-1 All Habitats'!$X$3,U65&gt;0),V65+W65,IF(AND(Q65='G-1 All Habitats'!$X$3,T65&gt;0),V65+W65,IF(AND(Q65='G-1 All Habitats'!$X$3,AD65&gt;0),"Any Loss Unacceptable ⚠",IF(AND(Q65='G-1 All Habitats'!$X$3,AE65&gt;0),"Any Loss Unacceptable ⚠", E65*G65*I65*L65*N65*P65 ))))),"Check Data ▲")</f>
        <v>1.267973157990093</v>
      </c>
      <c r="S65" s="32"/>
      <c r="T65" s="114">
        <v>0</v>
      </c>
      <c r="U65" s="125">
        <v>0.42265771933003105</v>
      </c>
      <c r="V65" s="374">
        <f t="shared" si="0"/>
        <v>0</v>
      </c>
      <c r="W65" s="374">
        <f t="shared" si="1"/>
        <v>1.267973157990093</v>
      </c>
      <c r="X65" s="374">
        <f t="shared" si="2"/>
        <v>0</v>
      </c>
      <c r="Y65" s="670">
        <f t="shared" si="3"/>
        <v>0</v>
      </c>
      <c r="Z65" s="706"/>
      <c r="AA65" s="704"/>
      <c r="AB65" s="120"/>
      <c r="AC65" s="120" t="s">
        <v>2057</v>
      </c>
      <c r="AD65" s="57" t="str">
        <f>IF(Q65="","",IF(Q65='G-1 All Habitats'!$X$3,E65-T65-U65,"None"))</f>
        <v>None</v>
      </c>
      <c r="AE65" s="58" t="str">
        <f>IF(Q65="","", IF(Q65='G-1 All Habitats'!$X$3, AD65*G65*I65*L65*N65*P65,"None"))</f>
        <v>None</v>
      </c>
      <c r="AH65" s="30">
        <f t="shared" si="4"/>
        <v>0</v>
      </c>
      <c r="AI65" s="124" t="b">
        <f t="shared" si="5"/>
        <v>0</v>
      </c>
      <c r="AJ65" s="124" t="b">
        <f t="shared" si="6"/>
        <v>1</v>
      </c>
      <c r="AL65" s="124">
        <v>56</v>
      </c>
      <c r="AN65" s="124" t="str">
        <f t="array" ref="AN65">IFERROR(INDEX($AL$10:$AL$258, MATCH(0, IF(TRUE=$AI$10:$AI$258, COUNTIF($AN$9:$AN64, $AL$10:$AL$258), ""), 0)),"")</f>
        <v/>
      </c>
      <c r="AO65" s="124">
        <f t="array" ref="AO65">IFERROR(INDEX($AL$10:$AL$258, MATCH(0, IF(TRUE=$AJ$10:$AJ$258, COUNTIF($AO$9:$AO64, $AL$10:$AL$258), ""), 0)),"")</f>
        <v>61</v>
      </c>
      <c r="AQ65" s="30" t="str">
        <f>IFERROR(INDEX('G-7 WaterC'' Data'!$AZ$3:$AZ$7,MATCH(D65,'G-7 WaterC'' Data'!$AY$3:$AY$7,0)),"")</f>
        <v>Rivercond1</v>
      </c>
      <c r="AR65" s="30" t="str">
        <f>IFERROR(INDEX('G-7 WaterC'' Data'!AZ65:AZ69,MATCH(D65,'G-7 WaterC'' Data'!$AY$10:$AY$14,0)),"")</f>
        <v/>
      </c>
    </row>
    <row r="66" spans="3:44" ht="28.5" x14ac:dyDescent="0.2">
      <c r="C66" s="110">
        <v>57</v>
      </c>
      <c r="D66" s="338" t="s">
        <v>198</v>
      </c>
      <c r="E66" s="139">
        <v>0.54154161084243291</v>
      </c>
      <c r="F66" s="362" t="str">
        <f>IF(D66="","",VLOOKUP(D66,'G-7 WaterC'' Data'!$B$2:$G$8,2,FALSE))</f>
        <v>Medium</v>
      </c>
      <c r="G66" s="363">
        <f>IFERROR(VLOOKUP(F66,'G-7 WaterC'' Data'!$C$4:$D$8,2,FALSE),"")</f>
        <v>4</v>
      </c>
      <c r="H66" s="114" t="s">
        <v>329</v>
      </c>
      <c r="I66" s="363">
        <f>IFERROR(INDEX('G-7 WaterC'' Data'!$H$4:$L$8,MATCH(D66,'G-7 WaterC'' Data'!$B$4:$B$8,0),MATCH(H66,'G-7 WaterC'' Data'!$H$3:$L$3,0)),"")</f>
        <v>1</v>
      </c>
      <c r="J66" s="320" t="s">
        <v>1037</v>
      </c>
      <c r="K66" s="398" t="str">
        <f>IF(J66="","",IF(VLOOKUP(J66,'G-7 WaterC'' Data'!$AK$4:$AM$6,2,FALSE)=0,"Spatial Data Missing ⚠",VLOOKUP(J66,'G-7 WaterC'' Data'!$AK$4:$AM$6,2,FALSE)))</f>
        <v>Low Strategic Significance</v>
      </c>
      <c r="L66" s="368">
        <f>IF(J66="","",IF(VLOOKUP(J66,'G-7 WaterC'' Data'!$AK$4:$AM$9,3,FALSE)=0,"Spatial Data Missing ⚠",VLOOKUP(J66,'G-7 WaterC'' Data'!$AK$4:$AM$6,3,FALSE)))</f>
        <v>1</v>
      </c>
      <c r="M66" s="54" t="s">
        <v>1126</v>
      </c>
      <c r="N66" s="363">
        <f>IF(M66="","",IF(VLOOKUP(M66,'G-7 WaterC'' Data'!$AA$4:$AB$7,2,FALSE)=0,"Spatial Data Missing ⚠",VLOOKUP(M66,'G-7 WaterC'' Data'!$AA$4:$AB$7,2,FALSE)))</f>
        <v>1</v>
      </c>
      <c r="O66" s="60" t="s">
        <v>1127</v>
      </c>
      <c r="P66" s="363">
        <f>IF(O66="","",IF(VLOOKUP(O66,'G-7 WaterC'' Data'!$AD$4:$AE$14,2,FALSE)=0,"Spatial Data Missing ⚠",VLOOKUP(O66,'G-7 WaterC'' Data'!$AD$4:$AE$14,2,FALSE)))</f>
        <v>0.75</v>
      </c>
      <c r="Q66" s="369" t="str">
        <f>IF(D66="","",VLOOKUP(D66,'G-7 WaterC'' Data'!$B$2:$G$8,6,FALSE))</f>
        <v>Same habitat required =</v>
      </c>
      <c r="R66" s="376">
        <f>IFERROR(IF(D66="","",IF(AND(Q66='G-1 All Habitats'!$X$3,U66&gt;0),V66+W66,IF(AND(Q66='G-1 All Habitats'!$X$3,T66&gt;0),V66+W66,IF(AND(Q66='G-1 All Habitats'!$X$3,AD66&gt;0),"Any Loss Unacceptable ⚠",IF(AND(Q66='G-1 All Habitats'!$X$3,AE66&gt;0),"Any Loss Unacceptable ⚠", E66*G66*I66*L66*N66*P66 ))))),"Check Data ▲")</f>
        <v>1.6246248325272987</v>
      </c>
      <c r="S66" s="32"/>
      <c r="T66" s="114">
        <v>0</v>
      </c>
      <c r="U66" s="125">
        <v>0.54154161084243291</v>
      </c>
      <c r="V66" s="374">
        <f t="shared" si="0"/>
        <v>0</v>
      </c>
      <c r="W66" s="374">
        <f t="shared" si="1"/>
        <v>1.6246248325272987</v>
      </c>
      <c r="X66" s="374">
        <f t="shared" si="2"/>
        <v>0</v>
      </c>
      <c r="Y66" s="670">
        <f t="shared" si="3"/>
        <v>0</v>
      </c>
      <c r="Z66" s="706"/>
      <c r="AA66" s="704"/>
      <c r="AB66" s="120"/>
      <c r="AC66" s="120" t="s">
        <v>2058</v>
      </c>
      <c r="AD66" s="57" t="str">
        <f>IF(Q66="","",IF(Q66='G-1 All Habitats'!$X$3,E66-T66-U66,"None"))</f>
        <v>None</v>
      </c>
      <c r="AE66" s="58" t="str">
        <f>IF(Q66="","", IF(Q66='G-1 All Habitats'!$X$3, AD66*G66*I66*L66*N66*P66,"None"))</f>
        <v>None</v>
      </c>
      <c r="AH66" s="30">
        <f t="shared" si="4"/>
        <v>0</v>
      </c>
      <c r="AI66" s="124" t="b">
        <f t="shared" si="5"/>
        <v>0</v>
      </c>
      <c r="AJ66" s="124" t="b">
        <f t="shared" si="6"/>
        <v>1</v>
      </c>
      <c r="AL66" s="124">
        <v>57</v>
      </c>
      <c r="AN66" s="124" t="str">
        <f t="array" ref="AN66">IFERROR(INDEX($AL$10:$AL$258, MATCH(0, IF(TRUE=$AI$10:$AI$258, COUNTIF($AN$9:$AN65, $AL$10:$AL$258), ""), 0)),"")</f>
        <v/>
      </c>
      <c r="AO66" s="124">
        <f t="array" ref="AO66">IFERROR(INDEX($AL$10:$AL$258, MATCH(0, IF(TRUE=$AJ$10:$AJ$258, COUNTIF($AO$9:$AO65, $AL$10:$AL$258), ""), 0)),"")</f>
        <v>62</v>
      </c>
      <c r="AQ66" s="30" t="str">
        <f>IFERROR(INDEX('G-7 WaterC'' Data'!$AZ$3:$AZ$7,MATCH(D66,'G-7 WaterC'' Data'!$AY$3:$AY$7,0)),"")</f>
        <v>Rivercond1</v>
      </c>
      <c r="AR66" s="30" t="str">
        <f>IFERROR(INDEX('G-7 WaterC'' Data'!AZ66:AZ70,MATCH(D66,'G-7 WaterC'' Data'!$AY$10:$AY$14,0)),"")</f>
        <v/>
      </c>
    </row>
    <row r="67" spans="3:44" ht="28.5" x14ac:dyDescent="0.2">
      <c r="C67" s="110">
        <v>58</v>
      </c>
      <c r="D67" s="338" t="s">
        <v>198</v>
      </c>
      <c r="E67" s="139">
        <v>0.56647481701212199</v>
      </c>
      <c r="F67" s="362" t="str">
        <f>IF(D67="","",VLOOKUP(D67,'G-7 WaterC'' Data'!$B$2:$G$8,2,FALSE))</f>
        <v>Medium</v>
      </c>
      <c r="G67" s="363">
        <f>IFERROR(VLOOKUP(F67,'G-7 WaterC'' Data'!$C$4:$D$8,2,FALSE),"")</f>
        <v>4</v>
      </c>
      <c r="H67" s="114" t="s">
        <v>329</v>
      </c>
      <c r="I67" s="363">
        <f>IFERROR(INDEX('G-7 WaterC'' Data'!$H$4:$L$8,MATCH(D67,'G-7 WaterC'' Data'!$B$4:$B$8,0),MATCH(H67,'G-7 WaterC'' Data'!$H$3:$L$3,0)),"")</f>
        <v>1</v>
      </c>
      <c r="J67" s="320" t="s">
        <v>1037</v>
      </c>
      <c r="K67" s="398" t="str">
        <f>IF(J67="","",IF(VLOOKUP(J67,'G-7 WaterC'' Data'!$AK$4:$AM$6,2,FALSE)=0,"Spatial Data Missing ⚠",VLOOKUP(J67,'G-7 WaterC'' Data'!$AK$4:$AM$6,2,FALSE)))</f>
        <v>Low Strategic Significance</v>
      </c>
      <c r="L67" s="368">
        <f>IF(J67="","",IF(VLOOKUP(J67,'G-7 WaterC'' Data'!$AK$4:$AM$9,3,FALSE)=0,"Spatial Data Missing ⚠",VLOOKUP(J67,'G-7 WaterC'' Data'!$AK$4:$AM$6,3,FALSE)))</f>
        <v>1</v>
      </c>
      <c r="M67" s="54" t="s">
        <v>1126</v>
      </c>
      <c r="N67" s="363">
        <f>IF(M67="","",IF(VLOOKUP(M67,'G-7 WaterC'' Data'!$AA$4:$AB$7,2,FALSE)=0,"Spatial Data Missing ⚠",VLOOKUP(M67,'G-7 WaterC'' Data'!$AA$4:$AB$7,2,FALSE)))</f>
        <v>1</v>
      </c>
      <c r="O67" s="60" t="s">
        <v>1127</v>
      </c>
      <c r="P67" s="363">
        <f>IF(O67="","",IF(VLOOKUP(O67,'G-7 WaterC'' Data'!$AD$4:$AE$14,2,FALSE)=0,"Spatial Data Missing ⚠",VLOOKUP(O67,'G-7 WaterC'' Data'!$AD$4:$AE$14,2,FALSE)))</f>
        <v>0.75</v>
      </c>
      <c r="Q67" s="369" t="str">
        <f>IF(D67="","",VLOOKUP(D67,'G-7 WaterC'' Data'!$B$2:$G$8,6,FALSE))</f>
        <v>Same habitat required =</v>
      </c>
      <c r="R67" s="376">
        <f>IFERROR(IF(D67="","",IF(AND(Q67='G-1 All Habitats'!$X$3,U67&gt;0),V67+W67,IF(AND(Q67='G-1 All Habitats'!$X$3,T67&gt;0),V67+W67,IF(AND(Q67='G-1 All Habitats'!$X$3,AD67&gt;0),"Any Loss Unacceptable ⚠",IF(AND(Q67='G-1 All Habitats'!$X$3,AE67&gt;0),"Any Loss Unacceptable ⚠", E67*G67*I67*L67*N67*P67 ))))),"Check Data ▲")</f>
        <v>1.6994244510363661</v>
      </c>
      <c r="S67" s="32"/>
      <c r="T67" s="114">
        <v>0</v>
      </c>
      <c r="U67" s="125">
        <v>0.56647481701212199</v>
      </c>
      <c r="V67" s="374">
        <f t="shared" si="0"/>
        <v>0</v>
      </c>
      <c r="W67" s="374">
        <f t="shared" si="1"/>
        <v>1.6994244510363661</v>
      </c>
      <c r="X67" s="374">
        <f t="shared" si="2"/>
        <v>0</v>
      </c>
      <c r="Y67" s="670">
        <f t="shared" si="3"/>
        <v>0</v>
      </c>
      <c r="Z67" s="706"/>
      <c r="AA67" s="704"/>
      <c r="AB67" s="120"/>
      <c r="AC67" s="120" t="s">
        <v>2059</v>
      </c>
      <c r="AD67" s="57" t="str">
        <f>IF(Q67="","",IF(Q67='G-1 All Habitats'!$X$3,E67-T67-U67,"None"))</f>
        <v>None</v>
      </c>
      <c r="AE67" s="58" t="str">
        <f>IF(Q67="","", IF(Q67='G-1 All Habitats'!$X$3, AD67*G67*I67*L67*N67*P67,"None"))</f>
        <v>None</v>
      </c>
      <c r="AH67" s="30">
        <f t="shared" si="4"/>
        <v>0</v>
      </c>
      <c r="AI67" s="124" t="b">
        <f t="shared" si="5"/>
        <v>0</v>
      </c>
      <c r="AJ67" s="124" t="b">
        <f t="shared" si="6"/>
        <v>1</v>
      </c>
      <c r="AL67" s="124">
        <v>58</v>
      </c>
      <c r="AN67" s="124" t="str">
        <f t="array" ref="AN67">IFERROR(INDEX($AL$10:$AL$258, MATCH(0, IF(TRUE=$AI$10:$AI$258, COUNTIF($AN$9:$AN66, $AL$10:$AL$258), ""), 0)),"")</f>
        <v/>
      </c>
      <c r="AO67" s="124">
        <f t="array" ref="AO67">IFERROR(INDEX($AL$10:$AL$258, MATCH(0, IF(TRUE=$AJ$10:$AJ$258, COUNTIF($AO$9:$AO66, $AL$10:$AL$258), ""), 0)),"")</f>
        <v>63</v>
      </c>
      <c r="AQ67" s="30" t="str">
        <f>IFERROR(INDEX('G-7 WaterC'' Data'!$AZ$3:$AZ$7,MATCH(D67,'G-7 WaterC'' Data'!$AY$3:$AY$7,0)),"")</f>
        <v>Rivercond1</v>
      </c>
      <c r="AR67" s="30" t="str">
        <f>IFERROR(INDEX('G-7 WaterC'' Data'!AZ67:AZ71,MATCH(D67,'G-7 WaterC'' Data'!$AY$10:$AY$14,0)),"")</f>
        <v/>
      </c>
    </row>
    <row r="68" spans="3:44" ht="28.5" x14ac:dyDescent="0.2">
      <c r="C68" s="110">
        <v>59</v>
      </c>
      <c r="D68" s="338" t="s">
        <v>198</v>
      </c>
      <c r="E68" s="139">
        <v>6.6165550230782369E-2</v>
      </c>
      <c r="F68" s="362" t="str">
        <f>IF(D68="","",VLOOKUP(D68,'G-7 WaterC'' Data'!$B$2:$G$8,2,FALSE))</f>
        <v>Medium</v>
      </c>
      <c r="G68" s="363">
        <f>IFERROR(VLOOKUP(F68,'G-7 WaterC'' Data'!$C$4:$D$8,2,FALSE),"")</f>
        <v>4</v>
      </c>
      <c r="H68" s="114" t="s">
        <v>329</v>
      </c>
      <c r="I68" s="363">
        <f>IFERROR(INDEX('G-7 WaterC'' Data'!$H$4:$L$8,MATCH(D68,'G-7 WaterC'' Data'!$B$4:$B$8,0),MATCH(H68,'G-7 WaterC'' Data'!$H$3:$L$3,0)),"")</f>
        <v>1</v>
      </c>
      <c r="J68" s="320" t="s">
        <v>1029</v>
      </c>
      <c r="K68" s="398" t="str">
        <f>IF(J68="","",IF(VLOOKUP(J68,'G-7 WaterC'' Data'!$AK$4:$AM$6,2,FALSE)=0,"Spatial Data Missing ⚠",VLOOKUP(J68,'G-7 WaterC'' Data'!$AK$4:$AM$6,2,FALSE)))</f>
        <v xml:space="preserve">High strategic significance </v>
      </c>
      <c r="L68" s="368">
        <f>IF(J68="","",IF(VLOOKUP(J68,'G-7 WaterC'' Data'!$AK$4:$AM$9,3,FALSE)=0,"Spatial Data Missing ⚠",VLOOKUP(J68,'G-7 WaterC'' Data'!$AK$4:$AM$6,3,FALSE)))</f>
        <v>1.1499999999999999</v>
      </c>
      <c r="M68" s="54" t="s">
        <v>1126</v>
      </c>
      <c r="N68" s="363">
        <f>IF(M68="","",IF(VLOOKUP(M68,'G-7 WaterC'' Data'!$AA$4:$AB$7,2,FALSE)=0,"Spatial Data Missing ⚠",VLOOKUP(M68,'G-7 WaterC'' Data'!$AA$4:$AB$7,2,FALSE)))</f>
        <v>1</v>
      </c>
      <c r="O68" s="60" t="s">
        <v>1127</v>
      </c>
      <c r="P68" s="363">
        <f>IF(O68="","",IF(VLOOKUP(O68,'G-7 WaterC'' Data'!$AD$4:$AE$14,2,FALSE)=0,"Spatial Data Missing ⚠",VLOOKUP(O68,'G-7 WaterC'' Data'!$AD$4:$AE$14,2,FALSE)))</f>
        <v>0.75</v>
      </c>
      <c r="Q68" s="369" t="str">
        <f>IF(D68="","",VLOOKUP(D68,'G-7 WaterC'' Data'!$B$2:$G$8,6,FALSE))</f>
        <v>Same habitat required =</v>
      </c>
      <c r="R68" s="376">
        <f>IFERROR(IF(D68="","",IF(AND(Q68='G-1 All Habitats'!$X$3,U68&gt;0),V68+W68,IF(AND(Q68='G-1 All Habitats'!$X$3,T68&gt;0),V68+W68,IF(AND(Q68='G-1 All Habitats'!$X$3,AD68&gt;0),"Any Loss Unacceptable ⚠",IF(AND(Q68='G-1 All Habitats'!$X$3,AE68&gt;0),"Any Loss Unacceptable ⚠", E68*G68*I68*L68*N68*P68 ))))),"Check Data ▲")</f>
        <v>0.22827114829619916</v>
      </c>
      <c r="S68" s="32"/>
      <c r="T68" s="114">
        <v>0</v>
      </c>
      <c r="U68" s="125">
        <v>6.6165550230782369E-2</v>
      </c>
      <c r="V68" s="374">
        <f t="shared" si="0"/>
        <v>0</v>
      </c>
      <c r="W68" s="374">
        <f t="shared" si="1"/>
        <v>0.22827114829619916</v>
      </c>
      <c r="X68" s="374">
        <f t="shared" si="2"/>
        <v>0</v>
      </c>
      <c r="Y68" s="670">
        <f t="shared" si="3"/>
        <v>0</v>
      </c>
      <c r="Z68" s="706"/>
      <c r="AA68" s="704"/>
      <c r="AB68" s="120"/>
      <c r="AC68" s="120" t="s">
        <v>2060</v>
      </c>
      <c r="AD68" s="57" t="str">
        <f>IF(Q68="","",IF(Q68='G-1 All Habitats'!$X$3,E68-T68-U68,"None"))</f>
        <v>None</v>
      </c>
      <c r="AE68" s="58" t="str">
        <f>IF(Q68="","", IF(Q68='G-1 All Habitats'!$X$3, AD68*G68*I68*L68*N68*P68,"None"))</f>
        <v>None</v>
      </c>
      <c r="AH68" s="30">
        <f t="shared" si="4"/>
        <v>0</v>
      </c>
      <c r="AI68" s="124" t="b">
        <f t="shared" si="5"/>
        <v>0</v>
      </c>
      <c r="AJ68" s="124" t="b">
        <f t="shared" si="6"/>
        <v>1</v>
      </c>
      <c r="AL68" s="124">
        <v>59</v>
      </c>
      <c r="AN68" s="124" t="str">
        <f t="array" ref="AN68">IFERROR(INDEX($AL$10:$AL$258, MATCH(0, IF(TRUE=$AI$10:$AI$258, COUNTIF($AN$9:$AN67, $AL$10:$AL$258), ""), 0)),"")</f>
        <v/>
      </c>
      <c r="AO68" s="124">
        <f t="array" ref="AO68">IFERROR(INDEX($AL$10:$AL$258, MATCH(0, IF(TRUE=$AJ$10:$AJ$258, COUNTIF($AO$9:$AO67, $AL$10:$AL$258), ""), 0)),"")</f>
        <v>64</v>
      </c>
      <c r="AQ68" s="30" t="str">
        <f>IFERROR(INDEX('G-7 WaterC'' Data'!$AZ$3:$AZ$7,MATCH(D68,'G-7 WaterC'' Data'!$AY$3:$AY$7,0)),"")</f>
        <v>Rivercond1</v>
      </c>
      <c r="AR68" s="30" t="str">
        <f>IFERROR(INDEX('G-7 WaterC'' Data'!AZ68:AZ72,MATCH(D68,'G-7 WaterC'' Data'!$AY$10:$AY$14,0)),"")</f>
        <v/>
      </c>
    </row>
    <row r="69" spans="3:44" ht="28.5" x14ac:dyDescent="0.2">
      <c r="C69" s="110">
        <v>60</v>
      </c>
      <c r="D69" s="338" t="s">
        <v>198</v>
      </c>
      <c r="E69" s="139">
        <v>4.9393093910903114E-3</v>
      </c>
      <c r="F69" s="362" t="str">
        <f>IF(D69="","",VLOOKUP(D69,'G-7 WaterC'' Data'!$B$2:$G$8,2,FALSE))</f>
        <v>Medium</v>
      </c>
      <c r="G69" s="363">
        <f>IFERROR(VLOOKUP(F69,'G-7 WaterC'' Data'!$C$4:$D$8,2,FALSE),"")</f>
        <v>4</v>
      </c>
      <c r="H69" s="114" t="s">
        <v>329</v>
      </c>
      <c r="I69" s="363">
        <f>IFERROR(INDEX('G-7 WaterC'' Data'!$H$4:$L$8,MATCH(D69,'G-7 WaterC'' Data'!$B$4:$B$8,0),MATCH(H69,'G-7 WaterC'' Data'!$H$3:$L$3,0)),"")</f>
        <v>1</v>
      </c>
      <c r="J69" s="320" t="s">
        <v>1029</v>
      </c>
      <c r="K69" s="398" t="str">
        <f>IF(J69="","",IF(VLOOKUP(J69,'G-7 WaterC'' Data'!$AK$4:$AM$6,2,FALSE)=0,"Spatial Data Missing ⚠",VLOOKUP(J69,'G-7 WaterC'' Data'!$AK$4:$AM$6,2,FALSE)))</f>
        <v xml:space="preserve">High strategic significance </v>
      </c>
      <c r="L69" s="368">
        <f>IF(J69="","",IF(VLOOKUP(J69,'G-7 WaterC'' Data'!$AK$4:$AM$9,3,FALSE)=0,"Spatial Data Missing ⚠",VLOOKUP(J69,'G-7 WaterC'' Data'!$AK$4:$AM$6,3,FALSE)))</f>
        <v>1.1499999999999999</v>
      </c>
      <c r="M69" s="54" t="s">
        <v>1126</v>
      </c>
      <c r="N69" s="363">
        <f>IF(M69="","",IF(VLOOKUP(M69,'G-7 WaterC'' Data'!$AA$4:$AB$7,2,FALSE)=0,"Spatial Data Missing ⚠",VLOOKUP(M69,'G-7 WaterC'' Data'!$AA$4:$AB$7,2,FALSE)))</f>
        <v>1</v>
      </c>
      <c r="O69" s="60" t="s">
        <v>1127</v>
      </c>
      <c r="P69" s="363">
        <f>IF(O69="","",IF(VLOOKUP(O69,'G-7 WaterC'' Data'!$AD$4:$AE$14,2,FALSE)=0,"Spatial Data Missing ⚠",VLOOKUP(O69,'G-7 WaterC'' Data'!$AD$4:$AE$14,2,FALSE)))</f>
        <v>0.75</v>
      </c>
      <c r="Q69" s="369" t="str">
        <f>IF(D69="","",VLOOKUP(D69,'G-7 WaterC'' Data'!$B$2:$G$8,6,FALSE))</f>
        <v>Same habitat required =</v>
      </c>
      <c r="R69" s="376">
        <f>IFERROR(IF(D69="","",IF(AND(Q69='G-1 All Habitats'!$X$3,U69&gt;0),V69+W69,IF(AND(Q69='G-1 All Habitats'!$X$3,T69&gt;0),V69+W69,IF(AND(Q69='G-1 All Habitats'!$X$3,AD69&gt;0),"Any Loss Unacceptable ⚠",IF(AND(Q69='G-1 All Habitats'!$X$3,AE69&gt;0),"Any Loss Unacceptable ⚠", E69*G69*I69*L69*N69*P69 ))))),"Check Data ▲")</f>
        <v>1.7040617399261573E-2</v>
      </c>
      <c r="S69" s="32"/>
      <c r="T69" s="114">
        <v>0</v>
      </c>
      <c r="U69" s="125">
        <v>4.9393093910903114E-3</v>
      </c>
      <c r="V69" s="374">
        <f t="shared" si="0"/>
        <v>0</v>
      </c>
      <c r="W69" s="374">
        <f t="shared" si="1"/>
        <v>1.7040617399261573E-2</v>
      </c>
      <c r="X69" s="374">
        <f t="shared" si="2"/>
        <v>0</v>
      </c>
      <c r="Y69" s="670">
        <f t="shared" si="3"/>
        <v>0</v>
      </c>
      <c r="Z69" s="706"/>
      <c r="AA69" s="704"/>
      <c r="AB69" s="120"/>
      <c r="AC69" s="120" t="s">
        <v>2061</v>
      </c>
      <c r="AD69" s="57" t="str">
        <f>IF(Q69="","",IF(Q69='G-1 All Habitats'!$X$3,E69-T69-U69,"None"))</f>
        <v>None</v>
      </c>
      <c r="AE69" s="58" t="str">
        <f>IF(Q69="","", IF(Q69='G-1 All Habitats'!$X$3, AD69*G69*I69*L69*N69*P69,"None"))</f>
        <v>None</v>
      </c>
      <c r="AH69" s="30">
        <f t="shared" si="4"/>
        <v>0</v>
      </c>
      <c r="AI69" s="124" t="b">
        <f t="shared" si="5"/>
        <v>0</v>
      </c>
      <c r="AJ69" s="124" t="b">
        <f t="shared" si="6"/>
        <v>1</v>
      </c>
      <c r="AL69" s="124">
        <v>60</v>
      </c>
      <c r="AN69" s="124" t="str">
        <f t="array" ref="AN69">IFERROR(INDEX($AL$10:$AL$258, MATCH(0, IF(TRUE=$AI$10:$AI$258, COUNTIF($AN$9:$AN68, $AL$10:$AL$258), ""), 0)),"")</f>
        <v/>
      </c>
      <c r="AO69" s="124">
        <f t="array" ref="AO69">IFERROR(INDEX($AL$10:$AL$258, MATCH(0, IF(TRUE=$AJ$10:$AJ$258, COUNTIF($AO$9:$AO68, $AL$10:$AL$258), ""), 0)),"")</f>
        <v>65</v>
      </c>
      <c r="AQ69" s="30" t="str">
        <f>IFERROR(INDEX('G-7 WaterC'' Data'!$AZ$3:$AZ$7,MATCH(D69,'G-7 WaterC'' Data'!$AY$3:$AY$7,0)),"")</f>
        <v>Rivercond1</v>
      </c>
      <c r="AR69" s="30" t="str">
        <f>IFERROR(INDEX('G-7 WaterC'' Data'!AZ69:AZ73,MATCH(D69,'G-7 WaterC'' Data'!$AY$10:$AY$14,0)),"")</f>
        <v/>
      </c>
    </row>
    <row r="70" spans="3:44" ht="28.5" x14ac:dyDescent="0.2">
      <c r="C70" s="110">
        <v>61</v>
      </c>
      <c r="D70" s="338" t="s">
        <v>198</v>
      </c>
      <c r="E70" s="139">
        <v>9.1066879469407197E-2</v>
      </c>
      <c r="F70" s="362" t="str">
        <f>IF(D70="","",VLOOKUP(D70,'G-7 WaterC'' Data'!$B$2:$G$8,2,FALSE))</f>
        <v>Medium</v>
      </c>
      <c r="G70" s="363">
        <f>IFERROR(VLOOKUP(F70,'G-7 WaterC'' Data'!$C$4:$D$8,2,FALSE),"")</f>
        <v>4</v>
      </c>
      <c r="H70" s="114" t="s">
        <v>329</v>
      </c>
      <c r="I70" s="363">
        <f>IFERROR(INDEX('G-7 WaterC'' Data'!$H$4:$L$8,MATCH(D70,'G-7 WaterC'' Data'!$B$4:$B$8,0),MATCH(H70,'G-7 WaterC'' Data'!$H$3:$L$3,0)),"")</f>
        <v>1</v>
      </c>
      <c r="J70" s="320" t="s">
        <v>1037</v>
      </c>
      <c r="K70" s="398" t="str">
        <f>IF(J70="","",IF(VLOOKUP(J70,'G-7 WaterC'' Data'!$AK$4:$AM$6,2,FALSE)=0,"Spatial Data Missing ⚠",VLOOKUP(J70,'G-7 WaterC'' Data'!$AK$4:$AM$6,2,FALSE)))</f>
        <v>Low Strategic Significance</v>
      </c>
      <c r="L70" s="368">
        <f>IF(J70="","",IF(VLOOKUP(J70,'G-7 WaterC'' Data'!$AK$4:$AM$9,3,FALSE)=0,"Spatial Data Missing ⚠",VLOOKUP(J70,'G-7 WaterC'' Data'!$AK$4:$AM$6,3,FALSE)))</f>
        <v>1</v>
      </c>
      <c r="M70" s="54" t="s">
        <v>1126</v>
      </c>
      <c r="N70" s="363">
        <f>IF(M70="","",IF(VLOOKUP(M70,'G-7 WaterC'' Data'!$AA$4:$AB$7,2,FALSE)=0,"Spatial Data Missing ⚠",VLOOKUP(M70,'G-7 WaterC'' Data'!$AA$4:$AB$7,2,FALSE)))</f>
        <v>1</v>
      </c>
      <c r="O70" s="60" t="s">
        <v>1127</v>
      </c>
      <c r="P70" s="363">
        <f>IF(O70="","",IF(VLOOKUP(O70,'G-7 WaterC'' Data'!$AD$4:$AE$14,2,FALSE)=0,"Spatial Data Missing ⚠",VLOOKUP(O70,'G-7 WaterC'' Data'!$AD$4:$AE$14,2,FALSE)))</f>
        <v>0.75</v>
      </c>
      <c r="Q70" s="369" t="str">
        <f>IF(D70="","",VLOOKUP(D70,'G-7 WaterC'' Data'!$B$2:$G$8,6,FALSE))</f>
        <v>Same habitat required =</v>
      </c>
      <c r="R70" s="376">
        <f>IFERROR(IF(D70="","",IF(AND(Q70='G-1 All Habitats'!$X$3,U70&gt;0),V70+W70,IF(AND(Q70='G-1 All Habitats'!$X$3,T70&gt;0),V70+W70,IF(AND(Q70='G-1 All Habitats'!$X$3,AD70&gt;0),"Any Loss Unacceptable ⚠",IF(AND(Q70='G-1 All Habitats'!$X$3,AE70&gt;0),"Any Loss Unacceptable ⚠", E70*G70*I70*L70*N70*P70 ))))),"Check Data ▲")</f>
        <v>0.27320063840822162</v>
      </c>
      <c r="S70" s="32"/>
      <c r="T70" s="114">
        <v>0</v>
      </c>
      <c r="U70" s="125">
        <v>9.1066879469407197E-2</v>
      </c>
      <c r="V70" s="374">
        <f t="shared" si="0"/>
        <v>0</v>
      </c>
      <c r="W70" s="374">
        <f t="shared" si="1"/>
        <v>0.27320063840822162</v>
      </c>
      <c r="X70" s="374">
        <f t="shared" si="2"/>
        <v>0</v>
      </c>
      <c r="Y70" s="670">
        <f t="shared" si="3"/>
        <v>0</v>
      </c>
      <c r="Z70" s="706"/>
      <c r="AA70" s="704"/>
      <c r="AB70" s="120"/>
      <c r="AC70" s="120" t="s">
        <v>2062</v>
      </c>
      <c r="AD70" s="57" t="str">
        <f>IF(Q70="","",IF(Q70='G-1 All Habitats'!$X$3,E70-T70-U70,"None"))</f>
        <v>None</v>
      </c>
      <c r="AE70" s="58" t="str">
        <f>IF(Q70="","", IF(Q70='G-1 All Habitats'!$X$3, AD70*G70*I70*L70*N70*P70,"None"))</f>
        <v>None</v>
      </c>
      <c r="AH70" s="30">
        <f t="shared" si="4"/>
        <v>0</v>
      </c>
      <c r="AI70" s="124" t="b">
        <f t="shared" si="5"/>
        <v>0</v>
      </c>
      <c r="AJ70" s="124" t="b">
        <f t="shared" si="6"/>
        <v>1</v>
      </c>
      <c r="AL70" s="124">
        <v>61</v>
      </c>
      <c r="AN70" s="124" t="str">
        <f t="array" ref="AN70">IFERROR(INDEX($AL$10:$AL$258, MATCH(0, IF(TRUE=$AI$10:$AI$258, COUNTIF($AN$9:$AN69, $AL$10:$AL$258), ""), 0)),"")</f>
        <v/>
      </c>
      <c r="AO70" s="124">
        <f t="array" ref="AO70">IFERROR(INDEX($AL$10:$AL$258, MATCH(0, IF(TRUE=$AJ$10:$AJ$258, COUNTIF($AO$9:$AO69, $AL$10:$AL$258), ""), 0)),"")</f>
        <v>66</v>
      </c>
      <c r="AQ70" s="30" t="str">
        <f>IFERROR(INDEX('G-7 WaterC'' Data'!$AZ$3:$AZ$7,MATCH(D70,'G-7 WaterC'' Data'!$AY$3:$AY$7,0)),"")</f>
        <v>Rivercond1</v>
      </c>
      <c r="AR70" s="30" t="str">
        <f>IFERROR(INDEX('G-7 WaterC'' Data'!AZ70:AZ74,MATCH(D70,'G-7 WaterC'' Data'!$AY$10:$AY$14,0)),"")</f>
        <v/>
      </c>
    </row>
    <row r="71" spans="3:44" ht="28.5" x14ac:dyDescent="0.2">
      <c r="C71" s="110">
        <v>62</v>
      </c>
      <c r="D71" s="338" t="s">
        <v>198</v>
      </c>
      <c r="E71" s="139">
        <v>0.23584630444324492</v>
      </c>
      <c r="F71" s="362" t="str">
        <f>IF(D71="","",VLOOKUP(D71,'G-7 WaterC'' Data'!$B$2:$G$8,2,FALSE))</f>
        <v>Medium</v>
      </c>
      <c r="G71" s="363">
        <f>IFERROR(VLOOKUP(F71,'G-7 WaterC'' Data'!$C$4:$D$8,2,FALSE),"")</f>
        <v>4</v>
      </c>
      <c r="H71" s="114" t="s">
        <v>329</v>
      </c>
      <c r="I71" s="363">
        <f>IFERROR(INDEX('G-7 WaterC'' Data'!$H$4:$L$8,MATCH(D71,'G-7 WaterC'' Data'!$B$4:$B$8,0),MATCH(H71,'G-7 WaterC'' Data'!$H$3:$L$3,0)),"")</f>
        <v>1</v>
      </c>
      <c r="J71" s="320" t="s">
        <v>1029</v>
      </c>
      <c r="K71" s="398" t="str">
        <f>IF(J71="","",IF(VLOOKUP(J71,'G-7 WaterC'' Data'!$AK$4:$AM$6,2,FALSE)=0,"Spatial Data Missing ⚠",VLOOKUP(J71,'G-7 WaterC'' Data'!$AK$4:$AM$6,2,FALSE)))</f>
        <v xml:space="preserve">High strategic significance </v>
      </c>
      <c r="L71" s="368">
        <f>IF(J71="","",IF(VLOOKUP(J71,'G-7 WaterC'' Data'!$AK$4:$AM$9,3,FALSE)=0,"Spatial Data Missing ⚠",VLOOKUP(J71,'G-7 WaterC'' Data'!$AK$4:$AM$6,3,FALSE)))</f>
        <v>1.1499999999999999</v>
      </c>
      <c r="M71" s="54" t="s">
        <v>1126</v>
      </c>
      <c r="N71" s="363">
        <f>IF(M71="","",IF(VLOOKUP(M71,'G-7 WaterC'' Data'!$AA$4:$AB$7,2,FALSE)=0,"Spatial Data Missing ⚠",VLOOKUP(M71,'G-7 WaterC'' Data'!$AA$4:$AB$7,2,FALSE)))</f>
        <v>1</v>
      </c>
      <c r="O71" s="60" t="s">
        <v>1127</v>
      </c>
      <c r="P71" s="363">
        <f>IF(O71="","",IF(VLOOKUP(O71,'G-7 WaterC'' Data'!$AD$4:$AE$14,2,FALSE)=0,"Spatial Data Missing ⚠",VLOOKUP(O71,'G-7 WaterC'' Data'!$AD$4:$AE$14,2,FALSE)))</f>
        <v>0.75</v>
      </c>
      <c r="Q71" s="369" t="str">
        <f>IF(D71="","",VLOOKUP(D71,'G-7 WaterC'' Data'!$B$2:$G$8,6,FALSE))</f>
        <v>Same habitat required =</v>
      </c>
      <c r="R71" s="376">
        <f>IFERROR(IF(D71="","",IF(AND(Q71='G-1 All Habitats'!$X$3,U71&gt;0),V71+W71,IF(AND(Q71='G-1 All Habitats'!$X$3,T71&gt;0),V71+W71,IF(AND(Q71='G-1 All Habitats'!$X$3,AD71&gt;0),"Any Loss Unacceptable ⚠",IF(AND(Q71='G-1 All Habitats'!$X$3,AE71&gt;0),"Any Loss Unacceptable ⚠", E71*G71*I71*L71*N71*P71 ))))),"Check Data ▲")</f>
        <v>0.81366975032919497</v>
      </c>
      <c r="S71" s="32"/>
      <c r="T71" s="114">
        <v>0</v>
      </c>
      <c r="U71" s="125">
        <v>0.23584630444324492</v>
      </c>
      <c r="V71" s="374">
        <f t="shared" si="0"/>
        <v>0</v>
      </c>
      <c r="W71" s="374">
        <f t="shared" si="1"/>
        <v>0.81366975032919497</v>
      </c>
      <c r="X71" s="374">
        <f t="shared" si="2"/>
        <v>0</v>
      </c>
      <c r="Y71" s="670">
        <f t="shared" si="3"/>
        <v>0</v>
      </c>
      <c r="Z71" s="706"/>
      <c r="AA71" s="704"/>
      <c r="AB71" s="120"/>
      <c r="AC71" s="120" t="s">
        <v>2063</v>
      </c>
      <c r="AD71" s="57" t="str">
        <f>IF(Q71="","",IF(Q71='G-1 All Habitats'!$X$3,E71-T71-U71,"None"))</f>
        <v>None</v>
      </c>
      <c r="AE71" s="58" t="str">
        <f>IF(Q71="","", IF(Q71='G-1 All Habitats'!$X$3, AD71*G71*I71*L71*N71*P71,"None"))</f>
        <v>None</v>
      </c>
      <c r="AH71" s="30">
        <f t="shared" si="4"/>
        <v>0</v>
      </c>
      <c r="AI71" s="124" t="b">
        <f t="shared" si="5"/>
        <v>0</v>
      </c>
      <c r="AJ71" s="124" t="b">
        <f t="shared" si="6"/>
        <v>1</v>
      </c>
      <c r="AL71" s="124">
        <v>62</v>
      </c>
      <c r="AN71" s="124" t="str">
        <f t="array" ref="AN71">IFERROR(INDEX($AL$10:$AL$258, MATCH(0, IF(TRUE=$AI$10:$AI$258, COUNTIF($AN$9:$AN70, $AL$10:$AL$258), ""), 0)),"")</f>
        <v/>
      </c>
      <c r="AO71" s="124">
        <f t="array" ref="AO71">IFERROR(INDEX($AL$10:$AL$258, MATCH(0, IF(TRUE=$AJ$10:$AJ$258, COUNTIF($AO$9:$AO70, $AL$10:$AL$258), ""), 0)),"")</f>
        <v>67</v>
      </c>
      <c r="AQ71" s="30" t="str">
        <f>IFERROR(INDEX('G-7 WaterC'' Data'!$AZ$3:$AZ$7,MATCH(D71,'G-7 WaterC'' Data'!$AY$3:$AY$7,0)),"")</f>
        <v>Rivercond1</v>
      </c>
      <c r="AR71" s="30" t="str">
        <f>IFERROR(INDEX('G-7 WaterC'' Data'!AZ71:AZ75,MATCH(D71,'G-7 WaterC'' Data'!$AY$10:$AY$14,0)),"")</f>
        <v/>
      </c>
    </row>
    <row r="72" spans="3:44" ht="28.5" x14ac:dyDescent="0.2">
      <c r="C72" s="110">
        <v>63</v>
      </c>
      <c r="D72" s="338" t="s">
        <v>198</v>
      </c>
      <c r="E72" s="139">
        <v>7.7235355385547128E-2</v>
      </c>
      <c r="F72" s="362" t="str">
        <f>IF(D72="","",VLOOKUP(D72,'G-7 WaterC'' Data'!$B$2:$G$8,2,FALSE))</f>
        <v>Medium</v>
      </c>
      <c r="G72" s="363">
        <f>IFERROR(VLOOKUP(F72,'G-7 WaterC'' Data'!$C$4:$D$8,2,FALSE),"")</f>
        <v>4</v>
      </c>
      <c r="H72" s="114" t="s">
        <v>329</v>
      </c>
      <c r="I72" s="363">
        <f>IFERROR(INDEX('G-7 WaterC'' Data'!$H$4:$L$8,MATCH(D72,'G-7 WaterC'' Data'!$B$4:$B$8,0),MATCH(H72,'G-7 WaterC'' Data'!$H$3:$L$3,0)),"")</f>
        <v>1</v>
      </c>
      <c r="J72" s="320" t="s">
        <v>1029</v>
      </c>
      <c r="K72" s="398" t="str">
        <f>IF(J72="","",IF(VLOOKUP(J72,'G-7 WaterC'' Data'!$AK$4:$AM$6,2,FALSE)=0,"Spatial Data Missing ⚠",VLOOKUP(J72,'G-7 WaterC'' Data'!$AK$4:$AM$6,2,FALSE)))</f>
        <v xml:space="preserve">High strategic significance </v>
      </c>
      <c r="L72" s="368">
        <f>IF(J72="","",IF(VLOOKUP(J72,'G-7 WaterC'' Data'!$AK$4:$AM$9,3,FALSE)=0,"Spatial Data Missing ⚠",VLOOKUP(J72,'G-7 WaterC'' Data'!$AK$4:$AM$6,3,FALSE)))</f>
        <v>1.1499999999999999</v>
      </c>
      <c r="M72" s="54" t="s">
        <v>1126</v>
      </c>
      <c r="N72" s="363">
        <f>IF(M72="","",IF(VLOOKUP(M72,'G-7 WaterC'' Data'!$AA$4:$AB$7,2,FALSE)=0,"Spatial Data Missing ⚠",VLOOKUP(M72,'G-7 WaterC'' Data'!$AA$4:$AB$7,2,FALSE)))</f>
        <v>1</v>
      </c>
      <c r="O72" s="60" t="s">
        <v>1127</v>
      </c>
      <c r="P72" s="363">
        <f>IF(O72="","",IF(VLOOKUP(O72,'G-7 WaterC'' Data'!$AD$4:$AE$14,2,FALSE)=0,"Spatial Data Missing ⚠",VLOOKUP(O72,'G-7 WaterC'' Data'!$AD$4:$AE$14,2,FALSE)))</f>
        <v>0.75</v>
      </c>
      <c r="Q72" s="369" t="str">
        <f>IF(D72="","",VLOOKUP(D72,'G-7 WaterC'' Data'!$B$2:$G$8,6,FALSE))</f>
        <v>Same habitat required =</v>
      </c>
      <c r="R72" s="376">
        <f>IFERROR(IF(D72="","",IF(AND(Q72='G-1 All Habitats'!$X$3,U72&gt;0),V72+W72,IF(AND(Q72='G-1 All Habitats'!$X$3,T72&gt;0),V72+W72,IF(AND(Q72='G-1 All Habitats'!$X$3,AD72&gt;0),"Any Loss Unacceptable ⚠",IF(AND(Q72='G-1 All Habitats'!$X$3,AE72&gt;0),"Any Loss Unacceptable ⚠", E72*G72*I72*L72*N72*P72 ))))),"Check Data ▲")</f>
        <v>0.26646197608013755</v>
      </c>
      <c r="S72" s="32"/>
      <c r="T72" s="114">
        <v>0</v>
      </c>
      <c r="U72" s="125">
        <v>7.7235355385547128E-2</v>
      </c>
      <c r="V72" s="374">
        <f t="shared" si="0"/>
        <v>0</v>
      </c>
      <c r="W72" s="374">
        <f t="shared" si="1"/>
        <v>0.26646197608013755</v>
      </c>
      <c r="X72" s="374">
        <f t="shared" si="2"/>
        <v>0</v>
      </c>
      <c r="Y72" s="670">
        <f t="shared" si="3"/>
        <v>0</v>
      </c>
      <c r="Z72" s="706"/>
      <c r="AA72" s="704"/>
      <c r="AB72" s="120"/>
      <c r="AC72" s="120" t="s">
        <v>2064</v>
      </c>
      <c r="AD72" s="57" t="str">
        <f>IF(Q72="","",IF(Q72='G-1 All Habitats'!$X$3,E72-T72-U72,"None"))</f>
        <v>None</v>
      </c>
      <c r="AE72" s="58" t="str">
        <f>IF(Q72="","", IF(Q72='G-1 All Habitats'!$X$3, AD72*G72*I72*L72*N72*P72,"None"))</f>
        <v>None</v>
      </c>
      <c r="AH72" s="30">
        <f t="shared" si="4"/>
        <v>0</v>
      </c>
      <c r="AI72" s="124" t="b">
        <f t="shared" si="5"/>
        <v>0</v>
      </c>
      <c r="AJ72" s="124" t="b">
        <f t="shared" si="6"/>
        <v>1</v>
      </c>
      <c r="AL72" s="124">
        <v>63</v>
      </c>
      <c r="AN72" s="124" t="str">
        <f t="array" ref="AN72">IFERROR(INDEX($AL$10:$AL$258, MATCH(0, IF(TRUE=$AI$10:$AI$258, COUNTIF($AN$9:$AN71, $AL$10:$AL$258), ""), 0)),"")</f>
        <v/>
      </c>
      <c r="AO72" s="124">
        <f t="array" ref="AO72">IFERROR(INDEX($AL$10:$AL$258, MATCH(0, IF(TRUE=$AJ$10:$AJ$258, COUNTIF($AO$9:$AO71, $AL$10:$AL$258), ""), 0)),"")</f>
        <v>68</v>
      </c>
      <c r="AQ72" s="30" t="str">
        <f>IFERROR(INDEX('G-7 WaterC'' Data'!$AZ$3:$AZ$7,MATCH(D72,'G-7 WaterC'' Data'!$AY$3:$AY$7,0)),"")</f>
        <v>Rivercond1</v>
      </c>
      <c r="AR72" s="30" t="str">
        <f>IFERROR(INDEX('G-7 WaterC'' Data'!AZ72:AZ76,MATCH(D72,'G-7 WaterC'' Data'!$AY$10:$AY$14,0)),"")</f>
        <v/>
      </c>
    </row>
    <row r="73" spans="3:44" ht="28.5" x14ac:dyDescent="0.2">
      <c r="C73" s="110">
        <v>64</v>
      </c>
      <c r="D73" s="338" t="s">
        <v>198</v>
      </c>
      <c r="E73" s="139">
        <v>1.87704844493836E-2</v>
      </c>
      <c r="F73" s="362" t="str">
        <f>IF(D73="","",VLOOKUP(D73,'G-7 WaterC'' Data'!$B$2:$G$8,2,FALSE))</f>
        <v>Medium</v>
      </c>
      <c r="G73" s="363">
        <f>IFERROR(VLOOKUP(F73,'G-7 WaterC'' Data'!$C$4:$D$8,2,FALSE),"")</f>
        <v>4</v>
      </c>
      <c r="H73" s="114" t="s">
        <v>329</v>
      </c>
      <c r="I73" s="363">
        <f>IFERROR(INDEX('G-7 WaterC'' Data'!$H$4:$L$8,MATCH(D73,'G-7 WaterC'' Data'!$B$4:$B$8,0),MATCH(H73,'G-7 WaterC'' Data'!$H$3:$L$3,0)),"")</f>
        <v>1</v>
      </c>
      <c r="J73" s="320" t="s">
        <v>1037</v>
      </c>
      <c r="K73" s="398" t="str">
        <f>IF(J73="","",IF(VLOOKUP(J73,'G-7 WaterC'' Data'!$AK$4:$AM$6,2,FALSE)=0,"Spatial Data Missing ⚠",VLOOKUP(J73,'G-7 WaterC'' Data'!$AK$4:$AM$6,2,FALSE)))</f>
        <v>Low Strategic Significance</v>
      </c>
      <c r="L73" s="368">
        <f>IF(J73="","",IF(VLOOKUP(J73,'G-7 WaterC'' Data'!$AK$4:$AM$9,3,FALSE)=0,"Spatial Data Missing ⚠",VLOOKUP(J73,'G-7 WaterC'' Data'!$AK$4:$AM$6,3,FALSE)))</f>
        <v>1</v>
      </c>
      <c r="M73" s="54" t="s">
        <v>1126</v>
      </c>
      <c r="N73" s="363">
        <f>IF(M73="","",IF(VLOOKUP(M73,'G-7 WaterC'' Data'!$AA$4:$AB$7,2,FALSE)=0,"Spatial Data Missing ⚠",VLOOKUP(M73,'G-7 WaterC'' Data'!$AA$4:$AB$7,2,FALSE)))</f>
        <v>1</v>
      </c>
      <c r="O73" s="60" t="s">
        <v>1127</v>
      </c>
      <c r="P73" s="363">
        <f>IF(O73="","",IF(VLOOKUP(O73,'G-7 WaterC'' Data'!$AD$4:$AE$14,2,FALSE)=0,"Spatial Data Missing ⚠",VLOOKUP(O73,'G-7 WaterC'' Data'!$AD$4:$AE$14,2,FALSE)))</f>
        <v>0.75</v>
      </c>
      <c r="Q73" s="369" t="str">
        <f>IF(D73="","",VLOOKUP(D73,'G-7 WaterC'' Data'!$B$2:$G$8,6,FALSE))</f>
        <v>Same habitat required =</v>
      </c>
      <c r="R73" s="376">
        <f>IFERROR(IF(D73="","",IF(AND(Q73='G-1 All Habitats'!$X$3,U73&gt;0),V73+W73,IF(AND(Q73='G-1 All Habitats'!$X$3,T73&gt;0),V73+W73,IF(AND(Q73='G-1 All Habitats'!$X$3,AD73&gt;0),"Any Loss Unacceptable ⚠",IF(AND(Q73='G-1 All Habitats'!$X$3,AE73&gt;0),"Any Loss Unacceptable ⚠", E73*G73*I73*L73*N73*P73 ))))),"Check Data ▲")</f>
        <v>5.6311453348150797E-2</v>
      </c>
      <c r="S73" s="32"/>
      <c r="T73" s="114">
        <v>0</v>
      </c>
      <c r="U73" s="125">
        <v>1.87704844493836E-2</v>
      </c>
      <c r="V73" s="374">
        <f t="shared" si="0"/>
        <v>0</v>
      </c>
      <c r="W73" s="374">
        <f t="shared" si="1"/>
        <v>5.6311453348150797E-2</v>
      </c>
      <c r="X73" s="374">
        <f t="shared" si="2"/>
        <v>0</v>
      </c>
      <c r="Y73" s="670">
        <f t="shared" si="3"/>
        <v>0</v>
      </c>
      <c r="Z73" s="706"/>
      <c r="AA73" s="704"/>
      <c r="AB73" s="120"/>
      <c r="AC73" s="120" t="s">
        <v>2065</v>
      </c>
      <c r="AD73" s="57" t="str">
        <f>IF(Q73="","",IF(Q73='G-1 All Habitats'!$X$3,E73-T73-U73,"None"))</f>
        <v>None</v>
      </c>
      <c r="AE73" s="58" t="str">
        <f>IF(Q73="","", IF(Q73='G-1 All Habitats'!$X$3, AD73*G73*I73*L73*N73*P73,"None"))</f>
        <v>None</v>
      </c>
      <c r="AH73" s="30">
        <f t="shared" si="4"/>
        <v>0</v>
      </c>
      <c r="AI73" s="124" t="b">
        <f t="shared" si="5"/>
        <v>0</v>
      </c>
      <c r="AJ73" s="124" t="b">
        <f t="shared" si="6"/>
        <v>1</v>
      </c>
      <c r="AL73" s="124">
        <v>64</v>
      </c>
      <c r="AN73" s="124" t="str">
        <f t="array" ref="AN73">IFERROR(INDEX($AL$10:$AL$258, MATCH(0, IF(TRUE=$AI$10:$AI$258, COUNTIF($AN$9:$AN72, $AL$10:$AL$258), ""), 0)),"")</f>
        <v/>
      </c>
      <c r="AO73" s="124">
        <f t="array" ref="AO73">IFERROR(INDEX($AL$10:$AL$258, MATCH(0, IF(TRUE=$AJ$10:$AJ$258, COUNTIF($AO$9:$AO72, $AL$10:$AL$258), ""), 0)),"")</f>
        <v>69</v>
      </c>
      <c r="AQ73" s="30" t="str">
        <f>IFERROR(INDEX('G-7 WaterC'' Data'!$AZ$3:$AZ$7,MATCH(D73,'G-7 WaterC'' Data'!$AY$3:$AY$7,0)),"")</f>
        <v>Rivercond1</v>
      </c>
      <c r="AR73" s="30" t="str">
        <f>IFERROR(INDEX('G-7 WaterC'' Data'!AZ73:AZ77,MATCH(D73,'G-7 WaterC'' Data'!$AY$10:$AY$14,0)),"")</f>
        <v/>
      </c>
    </row>
    <row r="74" spans="3:44" ht="28.5" x14ac:dyDescent="0.2">
      <c r="C74" s="110">
        <v>65</v>
      </c>
      <c r="D74" s="338" t="s">
        <v>198</v>
      </c>
      <c r="E74" s="139">
        <v>0.17961434870813542</v>
      </c>
      <c r="F74" s="362" t="str">
        <f>IF(D74="","",VLOOKUP(D74,'G-7 WaterC'' Data'!$B$2:$G$8,2,FALSE))</f>
        <v>Medium</v>
      </c>
      <c r="G74" s="363">
        <f>IFERROR(VLOOKUP(F74,'G-7 WaterC'' Data'!$C$4:$D$8,2,FALSE),"")</f>
        <v>4</v>
      </c>
      <c r="H74" s="114" t="s">
        <v>329</v>
      </c>
      <c r="I74" s="363">
        <f>IFERROR(INDEX('G-7 WaterC'' Data'!$H$4:$L$8,MATCH(D74,'G-7 WaterC'' Data'!$B$4:$B$8,0),MATCH(H74,'G-7 WaterC'' Data'!$H$3:$L$3,0)),"")</f>
        <v>1</v>
      </c>
      <c r="J74" s="320" t="s">
        <v>1029</v>
      </c>
      <c r="K74" s="398" t="str">
        <f>IF(J74="","",IF(VLOOKUP(J74,'G-7 WaterC'' Data'!$AK$4:$AM$6,2,FALSE)=0,"Spatial Data Missing ⚠",VLOOKUP(J74,'G-7 WaterC'' Data'!$AK$4:$AM$6,2,FALSE)))</f>
        <v xml:space="preserve">High strategic significance </v>
      </c>
      <c r="L74" s="368">
        <f>IF(J74="","",IF(VLOOKUP(J74,'G-7 WaterC'' Data'!$AK$4:$AM$9,3,FALSE)=0,"Spatial Data Missing ⚠",VLOOKUP(J74,'G-7 WaterC'' Data'!$AK$4:$AM$6,3,FALSE)))</f>
        <v>1.1499999999999999</v>
      </c>
      <c r="M74" s="54" t="s">
        <v>1126</v>
      </c>
      <c r="N74" s="363">
        <f>IF(M74="","",IF(VLOOKUP(M74,'G-7 WaterC'' Data'!$AA$4:$AB$7,2,FALSE)=0,"Spatial Data Missing ⚠",VLOOKUP(M74,'G-7 WaterC'' Data'!$AA$4:$AB$7,2,FALSE)))</f>
        <v>1</v>
      </c>
      <c r="O74" s="60" t="s">
        <v>1127</v>
      </c>
      <c r="P74" s="363">
        <f>IF(O74="","",IF(VLOOKUP(O74,'G-7 WaterC'' Data'!$AD$4:$AE$14,2,FALSE)=0,"Spatial Data Missing ⚠",VLOOKUP(O74,'G-7 WaterC'' Data'!$AD$4:$AE$14,2,FALSE)))</f>
        <v>0.75</v>
      </c>
      <c r="Q74" s="369" t="str">
        <f>IF(D74="","",VLOOKUP(D74,'G-7 WaterC'' Data'!$B$2:$G$8,6,FALSE))</f>
        <v>Same habitat required =</v>
      </c>
      <c r="R74" s="376">
        <f>IFERROR(IF(D74="","",IF(AND(Q74='G-1 All Habitats'!$X$3,U74&gt;0),V74+W74,IF(AND(Q74='G-1 All Habitats'!$X$3,T74&gt;0),V74+W74,IF(AND(Q74='G-1 All Habitats'!$X$3,AD74&gt;0),"Any Loss Unacceptable ⚠",IF(AND(Q74='G-1 All Habitats'!$X$3,AE74&gt;0),"Any Loss Unacceptable ⚠", E74*G74*I74*L74*N74*P74 ))))),"Check Data ▲")</f>
        <v>0.61966950304306712</v>
      </c>
      <c r="S74" s="32"/>
      <c r="T74" s="114">
        <v>0</v>
      </c>
      <c r="U74" s="125">
        <v>0.17961434870813542</v>
      </c>
      <c r="V74" s="374">
        <f t="shared" si="0"/>
        <v>0</v>
      </c>
      <c r="W74" s="374">
        <f t="shared" si="1"/>
        <v>0.61966950304306712</v>
      </c>
      <c r="X74" s="374">
        <f t="shared" si="2"/>
        <v>0</v>
      </c>
      <c r="Y74" s="670">
        <f t="shared" si="3"/>
        <v>0</v>
      </c>
      <c r="Z74" s="706"/>
      <c r="AA74" s="704"/>
      <c r="AB74" s="120"/>
      <c r="AC74" s="120" t="s">
        <v>2066</v>
      </c>
      <c r="AD74" s="57" t="str">
        <f>IF(Q74="","",IF(Q74='G-1 All Habitats'!$X$3,E74-T74-U74,"None"))</f>
        <v>None</v>
      </c>
      <c r="AE74" s="58" t="str">
        <f>IF(Q74="","", IF(Q74='G-1 All Habitats'!$X$3, AD74*G74*I74*L74*N74*P74,"None"))</f>
        <v>None</v>
      </c>
      <c r="AH74" s="30">
        <f t="shared" si="4"/>
        <v>0</v>
      </c>
      <c r="AI74" s="124" t="b">
        <f t="shared" si="5"/>
        <v>0</v>
      </c>
      <c r="AJ74" s="124" t="b">
        <f t="shared" si="6"/>
        <v>1</v>
      </c>
      <c r="AL74" s="124">
        <v>65</v>
      </c>
      <c r="AN74" s="124" t="str">
        <f t="array" ref="AN74">IFERROR(INDEX($AL$10:$AL$258, MATCH(0, IF(TRUE=$AI$10:$AI$258, COUNTIF($AN$9:$AN73, $AL$10:$AL$258), ""), 0)),"")</f>
        <v/>
      </c>
      <c r="AO74" s="124">
        <f t="array" ref="AO74">IFERROR(INDEX($AL$10:$AL$258, MATCH(0, IF(TRUE=$AJ$10:$AJ$258, COUNTIF($AO$9:$AO73, $AL$10:$AL$258), ""), 0)),"")</f>
        <v>70</v>
      </c>
      <c r="AQ74" s="30" t="str">
        <f>IFERROR(INDEX('G-7 WaterC'' Data'!$AZ$3:$AZ$7,MATCH(D74,'G-7 WaterC'' Data'!$AY$3:$AY$7,0)),"")</f>
        <v>Rivercond1</v>
      </c>
      <c r="AR74" s="30" t="str">
        <f>IFERROR(INDEX('G-7 WaterC'' Data'!AZ74:AZ78,MATCH(D74,'G-7 WaterC'' Data'!$AY$10:$AY$14,0)),"")</f>
        <v/>
      </c>
    </row>
    <row r="75" spans="3:44" ht="28.5" x14ac:dyDescent="0.2">
      <c r="C75" s="110">
        <v>66</v>
      </c>
      <c r="D75" s="338" t="s">
        <v>198</v>
      </c>
      <c r="E75" s="139">
        <v>0.10324565779079292</v>
      </c>
      <c r="F75" s="362" t="str">
        <f>IF(D75="","",VLOOKUP(D75,'G-7 WaterC'' Data'!$B$2:$G$8,2,FALSE))</f>
        <v>Medium</v>
      </c>
      <c r="G75" s="363">
        <f>IFERROR(VLOOKUP(F75,'G-7 WaterC'' Data'!$C$4:$D$8,2,FALSE),"")</f>
        <v>4</v>
      </c>
      <c r="H75" s="114" t="s">
        <v>329</v>
      </c>
      <c r="I75" s="363">
        <f>IFERROR(INDEX('G-7 WaterC'' Data'!$H$4:$L$8,MATCH(D75,'G-7 WaterC'' Data'!$B$4:$B$8,0),MATCH(H75,'G-7 WaterC'' Data'!$H$3:$L$3,0)),"")</f>
        <v>1</v>
      </c>
      <c r="J75" s="320" t="s">
        <v>1037</v>
      </c>
      <c r="K75" s="398" t="str">
        <f>IF(J75="","",IF(VLOOKUP(J75,'G-7 WaterC'' Data'!$AK$4:$AM$6,2,FALSE)=0,"Spatial Data Missing ⚠",VLOOKUP(J75,'G-7 WaterC'' Data'!$AK$4:$AM$6,2,FALSE)))</f>
        <v>Low Strategic Significance</v>
      </c>
      <c r="L75" s="368">
        <f>IF(J75="","",IF(VLOOKUP(J75,'G-7 WaterC'' Data'!$AK$4:$AM$9,3,FALSE)=0,"Spatial Data Missing ⚠",VLOOKUP(J75,'G-7 WaterC'' Data'!$AK$4:$AM$6,3,FALSE)))</f>
        <v>1</v>
      </c>
      <c r="M75" s="54" t="s">
        <v>1126</v>
      </c>
      <c r="N75" s="363">
        <f>IF(M75="","",IF(VLOOKUP(M75,'G-7 WaterC'' Data'!$AA$4:$AB$7,2,FALSE)=0,"Spatial Data Missing ⚠",VLOOKUP(M75,'G-7 WaterC'' Data'!$AA$4:$AB$7,2,FALSE)))</f>
        <v>1</v>
      </c>
      <c r="O75" s="60" t="s">
        <v>1127</v>
      </c>
      <c r="P75" s="363">
        <f>IF(O75="","",IF(VLOOKUP(O75,'G-7 WaterC'' Data'!$AD$4:$AE$14,2,FALSE)=0,"Spatial Data Missing ⚠",VLOOKUP(O75,'G-7 WaterC'' Data'!$AD$4:$AE$14,2,FALSE)))</f>
        <v>0.75</v>
      </c>
      <c r="Q75" s="369" t="str">
        <f>IF(D75="","",VLOOKUP(D75,'G-7 WaterC'' Data'!$B$2:$G$8,6,FALSE))</f>
        <v>Same habitat required =</v>
      </c>
      <c r="R75" s="376">
        <f>IFERROR(IF(D75="","",IF(AND(Q75='G-1 All Habitats'!$X$3,U75&gt;0),V75+W75,IF(AND(Q75='G-1 All Habitats'!$X$3,T75&gt;0),V75+W75,IF(AND(Q75='G-1 All Habitats'!$X$3,AD75&gt;0),"Any Loss Unacceptable ⚠",IF(AND(Q75='G-1 All Habitats'!$X$3,AE75&gt;0),"Any Loss Unacceptable ⚠", E75*G75*I75*L75*N75*P75 ))))),"Check Data ▲")</f>
        <v>0.30973697337237877</v>
      </c>
      <c r="S75" s="32"/>
      <c r="T75" s="114">
        <v>0</v>
      </c>
      <c r="U75" s="125">
        <v>0.10324565779079292</v>
      </c>
      <c r="V75" s="374">
        <f t="shared" ref="V75:V138" si="7">IFERROR(IF(T75&gt;E75,"Error in Lengths ▲",T75*G75*I75*L75*N75*P75),"")</f>
        <v>0</v>
      </c>
      <c r="W75" s="374">
        <f t="shared" ref="W75:W138" si="8">IFERROR(IF(D75="","",U75*G75*I75*L75*N75*P75),"")</f>
        <v>0.30973697337237877</v>
      </c>
      <c r="X75" s="374">
        <f t="shared" ref="X75:X138" si="9">IFERROR(IF(D75="","", IF(AND(F75="V.High",Z75="Yes"), "Unacceptable Loss ⚠", IF(E75&gt;(T75+U75),E75-T75-U75,0))),"")</f>
        <v>0</v>
      </c>
      <c r="Y75" s="670">
        <f t="shared" ref="Y75:Y138" si="10">IFERROR(IF(E75="","",IF((V75+W75)&gt;R75,0, IF(AND(Z75="Yes", D75="Priority habitat"), "Alternative compensation agreed ✓", IF(AND(D75="Priority habitat", U75+T75&lt;&gt;E75),"Any loss unacceptable ▲", R75-V75-W75)))),"Check Data ⚠")</f>
        <v>0</v>
      </c>
      <c r="Z75" s="706"/>
      <c r="AA75" s="704"/>
      <c r="AB75" s="120"/>
      <c r="AC75" s="120" t="s">
        <v>2067</v>
      </c>
      <c r="AD75" s="57" t="str">
        <f>IF(Q75="","",IF(Q75='G-1 All Habitats'!$X$3,E75-T75-U75,"None"))</f>
        <v>None</v>
      </c>
      <c r="AE75" s="58" t="str">
        <f>IF(Q75="","", IF(Q75='G-1 All Habitats'!$X$3, AD75*G75*I75*L75*N75*P75,"None"))</f>
        <v>None</v>
      </c>
      <c r="AH75" s="30">
        <f t="shared" ref="AH75:AH138" si="11">IFERROR(IF(T75+U75&gt;E75,1,0),"")</f>
        <v>0</v>
      </c>
      <c r="AI75" s="124" t="b">
        <f t="shared" ref="AI75:AI138" si="12">IF(D75="","",IF(T75&gt;0,TRUE,FALSE))</f>
        <v>0</v>
      </c>
      <c r="AJ75" s="124" t="b">
        <f t="shared" ref="AJ75:AJ138" si="13">IF(D75="","",IF(U75&gt;0,TRUE,FALSE))</f>
        <v>1</v>
      </c>
      <c r="AL75" s="124">
        <v>66</v>
      </c>
      <c r="AN75" s="124" t="str">
        <f t="array" ref="AN75">IFERROR(INDEX($AL$10:$AL$258, MATCH(0, IF(TRUE=$AI$10:$AI$258, COUNTIF($AN$9:$AN74, $AL$10:$AL$258), ""), 0)),"")</f>
        <v/>
      </c>
      <c r="AO75" s="124">
        <f t="array" ref="AO75">IFERROR(INDEX($AL$10:$AL$258, MATCH(0, IF(TRUE=$AJ$10:$AJ$258, COUNTIF($AO$9:$AO74, $AL$10:$AL$258), ""), 0)),"")</f>
        <v>71</v>
      </c>
      <c r="AQ75" s="30" t="str">
        <f>IFERROR(INDEX('G-7 WaterC'' Data'!$AZ$3:$AZ$7,MATCH(D75,'G-7 WaterC'' Data'!$AY$3:$AY$7,0)),"")</f>
        <v>Rivercond1</v>
      </c>
      <c r="AR75" s="30" t="str">
        <f>IFERROR(INDEX('G-7 WaterC'' Data'!AZ75:AZ79,MATCH(D75,'G-7 WaterC'' Data'!$AY$10:$AY$14,0)),"")</f>
        <v/>
      </c>
    </row>
    <row r="76" spans="3:44" ht="28.5" x14ac:dyDescent="0.2">
      <c r="C76" s="110">
        <v>67</v>
      </c>
      <c r="D76" s="338" t="s">
        <v>198</v>
      </c>
      <c r="E76" s="139">
        <v>2.5646838980534034E-2</v>
      </c>
      <c r="F76" s="362" t="str">
        <f>IF(D76="","",VLOOKUP(D76,'G-7 WaterC'' Data'!$B$2:$G$8,2,FALSE))</f>
        <v>Medium</v>
      </c>
      <c r="G76" s="363">
        <f>IFERROR(VLOOKUP(F76,'G-7 WaterC'' Data'!$C$4:$D$8,2,FALSE),"")</f>
        <v>4</v>
      </c>
      <c r="H76" s="114" t="s">
        <v>329</v>
      </c>
      <c r="I76" s="363">
        <f>IFERROR(INDEX('G-7 WaterC'' Data'!$H$4:$L$8,MATCH(D76,'G-7 WaterC'' Data'!$B$4:$B$8,0),MATCH(H76,'G-7 WaterC'' Data'!$H$3:$L$3,0)),"")</f>
        <v>1</v>
      </c>
      <c r="J76" s="320" t="s">
        <v>1029</v>
      </c>
      <c r="K76" s="398" t="str">
        <f>IF(J76="","",IF(VLOOKUP(J76,'G-7 WaterC'' Data'!$AK$4:$AM$6,2,FALSE)=0,"Spatial Data Missing ⚠",VLOOKUP(J76,'G-7 WaterC'' Data'!$AK$4:$AM$6,2,FALSE)))</f>
        <v xml:space="preserve">High strategic significance </v>
      </c>
      <c r="L76" s="368">
        <f>IF(J76="","",IF(VLOOKUP(J76,'G-7 WaterC'' Data'!$AK$4:$AM$9,3,FALSE)=0,"Spatial Data Missing ⚠",VLOOKUP(J76,'G-7 WaterC'' Data'!$AK$4:$AM$6,3,FALSE)))</f>
        <v>1.1499999999999999</v>
      </c>
      <c r="M76" s="54" t="s">
        <v>1126</v>
      </c>
      <c r="N76" s="363">
        <f>IF(M76="","",IF(VLOOKUP(M76,'G-7 WaterC'' Data'!$AA$4:$AB$7,2,FALSE)=0,"Spatial Data Missing ⚠",VLOOKUP(M76,'G-7 WaterC'' Data'!$AA$4:$AB$7,2,FALSE)))</f>
        <v>1</v>
      </c>
      <c r="O76" s="60" t="s">
        <v>1127</v>
      </c>
      <c r="P76" s="363">
        <f>IF(O76="","",IF(VLOOKUP(O76,'G-7 WaterC'' Data'!$AD$4:$AE$14,2,FALSE)=0,"Spatial Data Missing ⚠",VLOOKUP(O76,'G-7 WaterC'' Data'!$AD$4:$AE$14,2,FALSE)))</f>
        <v>0.75</v>
      </c>
      <c r="Q76" s="369" t="str">
        <f>IF(D76="","",VLOOKUP(D76,'G-7 WaterC'' Data'!$B$2:$G$8,6,FALSE))</f>
        <v>Same habitat required =</v>
      </c>
      <c r="R76" s="376">
        <f>IFERROR(IF(D76="","",IF(AND(Q76='G-1 All Habitats'!$X$3,U76&gt;0),V76+W76,IF(AND(Q76='G-1 All Habitats'!$X$3,T76&gt;0),V76+W76,IF(AND(Q76='G-1 All Habitats'!$X$3,AD76&gt;0),"Any Loss Unacceptable ⚠",IF(AND(Q76='G-1 All Habitats'!$X$3,AE76&gt;0),"Any Loss Unacceptable ⚠", E76*G76*I76*L76*N76*P76 ))))),"Check Data ▲")</f>
        <v>8.8481594482842416E-2</v>
      </c>
      <c r="S76" s="32"/>
      <c r="T76" s="114">
        <v>0</v>
      </c>
      <c r="U76" s="125">
        <v>2.5646838980534034E-2</v>
      </c>
      <c r="V76" s="374">
        <f t="shared" si="7"/>
        <v>0</v>
      </c>
      <c r="W76" s="374">
        <f t="shared" si="8"/>
        <v>8.8481594482842416E-2</v>
      </c>
      <c r="X76" s="374">
        <f t="shared" si="9"/>
        <v>0</v>
      </c>
      <c r="Y76" s="670">
        <f t="shared" si="10"/>
        <v>0</v>
      </c>
      <c r="Z76" s="706"/>
      <c r="AA76" s="704"/>
      <c r="AB76" s="120"/>
      <c r="AC76" s="120" t="s">
        <v>2068</v>
      </c>
      <c r="AD76" s="57" t="str">
        <f>IF(Q76="","",IF(Q76='G-1 All Habitats'!$X$3,E76-T76-U76,"None"))</f>
        <v>None</v>
      </c>
      <c r="AE76" s="58" t="str">
        <f>IF(Q76="","", IF(Q76='G-1 All Habitats'!$X$3, AD76*G76*I76*L76*N76*P76,"None"))</f>
        <v>None</v>
      </c>
      <c r="AH76" s="30">
        <f t="shared" si="11"/>
        <v>0</v>
      </c>
      <c r="AI76" s="124" t="b">
        <f t="shared" si="12"/>
        <v>0</v>
      </c>
      <c r="AJ76" s="124" t="b">
        <f t="shared" si="13"/>
        <v>1</v>
      </c>
      <c r="AL76" s="124">
        <v>67</v>
      </c>
      <c r="AN76" s="124" t="str">
        <f t="array" ref="AN76">IFERROR(INDEX($AL$10:$AL$258, MATCH(0, IF(TRUE=$AI$10:$AI$258, COUNTIF($AN$9:$AN75, $AL$10:$AL$258), ""), 0)),"")</f>
        <v/>
      </c>
      <c r="AO76" s="124">
        <f t="array" ref="AO76">IFERROR(INDEX($AL$10:$AL$258, MATCH(0, IF(TRUE=$AJ$10:$AJ$258, COUNTIF($AO$9:$AO75, $AL$10:$AL$258), ""), 0)),"")</f>
        <v>72</v>
      </c>
      <c r="AQ76" s="30" t="str">
        <f>IFERROR(INDEX('G-7 WaterC'' Data'!$AZ$3:$AZ$7,MATCH(D76,'G-7 WaterC'' Data'!$AY$3:$AY$7,0)),"")</f>
        <v>Rivercond1</v>
      </c>
      <c r="AR76" s="30" t="str">
        <f>IFERROR(INDEX('G-7 WaterC'' Data'!AZ76:AZ80,MATCH(D76,'G-7 WaterC'' Data'!$AY$10:$AY$14,0)),"")</f>
        <v/>
      </c>
    </row>
    <row r="77" spans="3:44" ht="28.5" x14ac:dyDescent="0.2">
      <c r="C77" s="110">
        <v>68</v>
      </c>
      <c r="D77" s="338" t="s">
        <v>198</v>
      </c>
      <c r="E77" s="139">
        <v>6.7789066620694768E-2</v>
      </c>
      <c r="F77" s="362" t="str">
        <f>IF(D77="","",VLOOKUP(D77,'G-7 WaterC'' Data'!$B$2:$G$8,2,FALSE))</f>
        <v>Medium</v>
      </c>
      <c r="G77" s="363">
        <f>IFERROR(VLOOKUP(F77,'G-7 WaterC'' Data'!$C$4:$D$8,2,FALSE),"")</f>
        <v>4</v>
      </c>
      <c r="H77" s="114" t="s">
        <v>329</v>
      </c>
      <c r="I77" s="363">
        <f>IFERROR(INDEX('G-7 WaterC'' Data'!$H$4:$L$8,MATCH(D77,'G-7 WaterC'' Data'!$B$4:$B$8,0),MATCH(H77,'G-7 WaterC'' Data'!$H$3:$L$3,0)),"")</f>
        <v>1</v>
      </c>
      <c r="J77" s="320" t="s">
        <v>1029</v>
      </c>
      <c r="K77" s="398" t="str">
        <f>IF(J77="","",IF(VLOOKUP(J77,'G-7 WaterC'' Data'!$AK$4:$AM$6,2,FALSE)=0,"Spatial Data Missing ⚠",VLOOKUP(J77,'G-7 WaterC'' Data'!$AK$4:$AM$6,2,FALSE)))</f>
        <v xml:space="preserve">High strategic significance </v>
      </c>
      <c r="L77" s="368">
        <f>IF(J77="","",IF(VLOOKUP(J77,'G-7 WaterC'' Data'!$AK$4:$AM$9,3,FALSE)=0,"Spatial Data Missing ⚠",VLOOKUP(J77,'G-7 WaterC'' Data'!$AK$4:$AM$6,3,FALSE)))</f>
        <v>1.1499999999999999</v>
      </c>
      <c r="M77" s="54" t="s">
        <v>1126</v>
      </c>
      <c r="N77" s="363">
        <f>IF(M77="","",IF(VLOOKUP(M77,'G-7 WaterC'' Data'!$AA$4:$AB$7,2,FALSE)=0,"Spatial Data Missing ⚠",VLOOKUP(M77,'G-7 WaterC'' Data'!$AA$4:$AB$7,2,FALSE)))</f>
        <v>1</v>
      </c>
      <c r="O77" s="60" t="s">
        <v>1127</v>
      </c>
      <c r="P77" s="363">
        <f>IF(O77="","",IF(VLOOKUP(O77,'G-7 WaterC'' Data'!$AD$4:$AE$14,2,FALSE)=0,"Spatial Data Missing ⚠",VLOOKUP(O77,'G-7 WaterC'' Data'!$AD$4:$AE$14,2,FALSE)))</f>
        <v>0.75</v>
      </c>
      <c r="Q77" s="369" t="str">
        <f>IF(D77="","",VLOOKUP(D77,'G-7 WaterC'' Data'!$B$2:$G$8,6,FALSE))</f>
        <v>Same habitat required =</v>
      </c>
      <c r="R77" s="376">
        <f>IFERROR(IF(D77="","",IF(AND(Q77='G-1 All Habitats'!$X$3,U77&gt;0),V77+W77,IF(AND(Q77='G-1 All Habitats'!$X$3,T77&gt;0),V77+W77,IF(AND(Q77='G-1 All Habitats'!$X$3,AD77&gt;0),"Any Loss Unacceptable ⚠",IF(AND(Q77='G-1 All Habitats'!$X$3,AE77&gt;0),"Any Loss Unacceptable ⚠", E77*G77*I77*L77*N77*P77 ))))),"Check Data ▲")</f>
        <v>0.23387227984139694</v>
      </c>
      <c r="S77" s="32"/>
      <c r="T77" s="114">
        <v>0</v>
      </c>
      <c r="U77" s="125">
        <v>6.7789066620694768E-2</v>
      </c>
      <c r="V77" s="374">
        <f t="shared" si="7"/>
        <v>0</v>
      </c>
      <c r="W77" s="374">
        <f t="shared" si="8"/>
        <v>0.23387227984139694</v>
      </c>
      <c r="X77" s="374">
        <f t="shared" si="9"/>
        <v>0</v>
      </c>
      <c r="Y77" s="670">
        <f t="shared" si="10"/>
        <v>0</v>
      </c>
      <c r="Z77" s="706"/>
      <c r="AA77" s="704"/>
      <c r="AB77" s="120"/>
      <c r="AC77" s="120" t="s">
        <v>2069</v>
      </c>
      <c r="AD77" s="57" t="str">
        <f>IF(Q77="","",IF(Q77='G-1 All Habitats'!$X$3,E77-T77-U77,"None"))</f>
        <v>None</v>
      </c>
      <c r="AE77" s="58" t="str">
        <f>IF(Q77="","", IF(Q77='G-1 All Habitats'!$X$3, AD77*G77*I77*L77*N77*P77,"None"))</f>
        <v>None</v>
      </c>
      <c r="AH77" s="30">
        <f t="shared" si="11"/>
        <v>0</v>
      </c>
      <c r="AI77" s="124" t="b">
        <f t="shared" si="12"/>
        <v>0</v>
      </c>
      <c r="AJ77" s="124" t="b">
        <f t="shared" si="13"/>
        <v>1</v>
      </c>
      <c r="AL77" s="124">
        <v>68</v>
      </c>
      <c r="AN77" s="124" t="str">
        <f t="array" ref="AN77">IFERROR(INDEX($AL$10:$AL$258, MATCH(0, IF(TRUE=$AI$10:$AI$258, COUNTIF($AN$9:$AN76, $AL$10:$AL$258), ""), 0)),"")</f>
        <v/>
      </c>
      <c r="AO77" s="124">
        <f t="array" ref="AO77">IFERROR(INDEX($AL$10:$AL$258, MATCH(0, IF(TRUE=$AJ$10:$AJ$258, COUNTIF($AO$9:$AO76, $AL$10:$AL$258), ""), 0)),"")</f>
        <v>73</v>
      </c>
      <c r="AQ77" s="30" t="str">
        <f>IFERROR(INDEX('G-7 WaterC'' Data'!$AZ$3:$AZ$7,MATCH(D77,'G-7 WaterC'' Data'!$AY$3:$AY$7,0)),"")</f>
        <v>Rivercond1</v>
      </c>
      <c r="AR77" s="30" t="str">
        <f>IFERROR(INDEX('G-7 WaterC'' Data'!AZ77:AZ81,MATCH(D77,'G-7 WaterC'' Data'!$AY$10:$AY$14,0)),"")</f>
        <v/>
      </c>
    </row>
    <row r="78" spans="3:44" ht="28.5" x14ac:dyDescent="0.2">
      <c r="C78" s="110">
        <v>69</v>
      </c>
      <c r="D78" s="338" t="s">
        <v>198</v>
      </c>
      <c r="E78" s="139">
        <v>0.44781517798462372</v>
      </c>
      <c r="F78" s="362" t="str">
        <f>IF(D78="","",VLOOKUP(D78,'G-7 WaterC'' Data'!$B$2:$G$8,2,FALSE))</f>
        <v>Medium</v>
      </c>
      <c r="G78" s="363">
        <f>IFERROR(VLOOKUP(F78,'G-7 WaterC'' Data'!$C$4:$D$8,2,FALSE),"")</f>
        <v>4</v>
      </c>
      <c r="H78" s="114" t="s">
        <v>329</v>
      </c>
      <c r="I78" s="363">
        <f>IFERROR(INDEX('G-7 WaterC'' Data'!$H$4:$L$8,MATCH(D78,'G-7 WaterC'' Data'!$B$4:$B$8,0),MATCH(H78,'G-7 WaterC'' Data'!$H$3:$L$3,0)),"")</f>
        <v>1</v>
      </c>
      <c r="J78" s="320" t="s">
        <v>1037</v>
      </c>
      <c r="K78" s="398" t="str">
        <f>IF(J78="","",IF(VLOOKUP(J78,'G-7 WaterC'' Data'!$AK$4:$AM$6,2,FALSE)=0,"Spatial Data Missing ⚠",VLOOKUP(J78,'G-7 WaterC'' Data'!$AK$4:$AM$6,2,FALSE)))</f>
        <v>Low Strategic Significance</v>
      </c>
      <c r="L78" s="368">
        <f>IF(J78="","",IF(VLOOKUP(J78,'G-7 WaterC'' Data'!$AK$4:$AM$9,3,FALSE)=0,"Spatial Data Missing ⚠",VLOOKUP(J78,'G-7 WaterC'' Data'!$AK$4:$AM$6,3,FALSE)))</f>
        <v>1</v>
      </c>
      <c r="M78" s="54" t="s">
        <v>1126</v>
      </c>
      <c r="N78" s="363">
        <f>IF(M78="","",IF(VLOOKUP(M78,'G-7 WaterC'' Data'!$AA$4:$AB$7,2,FALSE)=0,"Spatial Data Missing ⚠",VLOOKUP(M78,'G-7 WaterC'' Data'!$AA$4:$AB$7,2,FALSE)))</f>
        <v>1</v>
      </c>
      <c r="O78" s="60" t="s">
        <v>1127</v>
      </c>
      <c r="P78" s="363">
        <f>IF(O78="","",IF(VLOOKUP(O78,'G-7 WaterC'' Data'!$AD$4:$AE$14,2,FALSE)=0,"Spatial Data Missing ⚠",VLOOKUP(O78,'G-7 WaterC'' Data'!$AD$4:$AE$14,2,FALSE)))</f>
        <v>0.75</v>
      </c>
      <c r="Q78" s="369" t="str">
        <f>IF(D78="","",VLOOKUP(D78,'G-7 WaterC'' Data'!$B$2:$G$8,6,FALSE))</f>
        <v>Same habitat required =</v>
      </c>
      <c r="R78" s="376">
        <f>IFERROR(IF(D78="","",IF(AND(Q78='G-1 All Habitats'!$X$3,U78&gt;0),V78+W78,IF(AND(Q78='G-1 All Habitats'!$X$3,T78&gt;0),V78+W78,IF(AND(Q78='G-1 All Habitats'!$X$3,AD78&gt;0),"Any Loss Unacceptable ⚠",IF(AND(Q78='G-1 All Habitats'!$X$3,AE78&gt;0),"Any Loss Unacceptable ⚠", E78*G78*I78*L78*N78*P78 ))))),"Check Data ▲")</f>
        <v>1.3434455339538711</v>
      </c>
      <c r="S78" s="32"/>
      <c r="T78" s="114">
        <v>0</v>
      </c>
      <c r="U78" s="125">
        <v>0.44781517798462372</v>
      </c>
      <c r="V78" s="374">
        <f t="shared" si="7"/>
        <v>0</v>
      </c>
      <c r="W78" s="374">
        <f t="shared" si="8"/>
        <v>1.3434455339538711</v>
      </c>
      <c r="X78" s="374">
        <f t="shared" si="9"/>
        <v>0</v>
      </c>
      <c r="Y78" s="670">
        <f t="shared" si="10"/>
        <v>0</v>
      </c>
      <c r="Z78" s="706"/>
      <c r="AA78" s="704"/>
      <c r="AB78" s="120"/>
      <c r="AC78" s="120" t="s">
        <v>2070</v>
      </c>
      <c r="AD78" s="57" t="str">
        <f>IF(Q78="","",IF(Q78='G-1 All Habitats'!$X$3,E78-T78-U78,"None"))</f>
        <v>None</v>
      </c>
      <c r="AE78" s="58" t="str">
        <f>IF(Q78="","", IF(Q78='G-1 All Habitats'!$X$3, AD78*G78*I78*L78*N78*P78,"None"))</f>
        <v>None</v>
      </c>
      <c r="AH78" s="30">
        <f t="shared" si="11"/>
        <v>0</v>
      </c>
      <c r="AI78" s="124" t="b">
        <f t="shared" si="12"/>
        <v>0</v>
      </c>
      <c r="AJ78" s="124" t="b">
        <f t="shared" si="13"/>
        <v>1</v>
      </c>
      <c r="AL78" s="124">
        <v>69</v>
      </c>
      <c r="AN78" s="124" t="str">
        <f t="array" ref="AN78">IFERROR(INDEX($AL$10:$AL$258, MATCH(0, IF(TRUE=$AI$10:$AI$258, COUNTIF($AN$9:$AN77, $AL$10:$AL$258), ""), 0)),"")</f>
        <v/>
      </c>
      <c r="AO78" s="124">
        <f t="array" ref="AO78">IFERROR(INDEX($AL$10:$AL$258, MATCH(0, IF(TRUE=$AJ$10:$AJ$258, COUNTIF($AO$9:$AO77, $AL$10:$AL$258), ""), 0)),"")</f>
        <v>74</v>
      </c>
      <c r="AQ78" s="30" t="str">
        <f>IFERROR(INDEX('G-7 WaterC'' Data'!$AZ$3:$AZ$7,MATCH(D78,'G-7 WaterC'' Data'!$AY$3:$AY$7,0)),"")</f>
        <v>Rivercond1</v>
      </c>
      <c r="AR78" s="30" t="str">
        <f>IFERROR(INDEX('G-7 WaterC'' Data'!AZ78:AZ82,MATCH(D78,'G-7 WaterC'' Data'!$AY$10:$AY$14,0)),"")</f>
        <v/>
      </c>
    </row>
    <row r="79" spans="3:44" ht="28.5" x14ac:dyDescent="0.2">
      <c r="C79" s="110">
        <v>70</v>
      </c>
      <c r="D79" s="338" t="s">
        <v>198</v>
      </c>
      <c r="E79" s="139">
        <v>0.33715518437693009</v>
      </c>
      <c r="F79" s="362" t="str">
        <f>IF(D79="","",VLOOKUP(D79,'G-7 WaterC'' Data'!$B$2:$G$8,2,FALSE))</f>
        <v>Medium</v>
      </c>
      <c r="G79" s="363">
        <f>IFERROR(VLOOKUP(F79,'G-7 WaterC'' Data'!$C$4:$D$8,2,FALSE),"")</f>
        <v>4</v>
      </c>
      <c r="H79" s="114" t="s">
        <v>329</v>
      </c>
      <c r="I79" s="363">
        <f>IFERROR(INDEX('G-7 WaterC'' Data'!$H$4:$L$8,MATCH(D79,'G-7 WaterC'' Data'!$B$4:$B$8,0),MATCH(H79,'G-7 WaterC'' Data'!$H$3:$L$3,0)),"")</f>
        <v>1</v>
      </c>
      <c r="J79" s="320" t="s">
        <v>1037</v>
      </c>
      <c r="K79" s="398" t="str">
        <f>IF(J79="","",IF(VLOOKUP(J79,'G-7 WaterC'' Data'!$AK$4:$AM$6,2,FALSE)=0,"Spatial Data Missing ⚠",VLOOKUP(J79,'G-7 WaterC'' Data'!$AK$4:$AM$6,2,FALSE)))</f>
        <v>Low Strategic Significance</v>
      </c>
      <c r="L79" s="368">
        <f>IF(J79="","",IF(VLOOKUP(J79,'G-7 WaterC'' Data'!$AK$4:$AM$9,3,FALSE)=0,"Spatial Data Missing ⚠",VLOOKUP(J79,'G-7 WaterC'' Data'!$AK$4:$AM$6,3,FALSE)))</f>
        <v>1</v>
      </c>
      <c r="M79" s="54" t="s">
        <v>1126</v>
      </c>
      <c r="N79" s="363">
        <f>IF(M79="","",IF(VLOOKUP(M79,'G-7 WaterC'' Data'!$AA$4:$AB$7,2,FALSE)=0,"Spatial Data Missing ⚠",VLOOKUP(M79,'G-7 WaterC'' Data'!$AA$4:$AB$7,2,FALSE)))</f>
        <v>1</v>
      </c>
      <c r="O79" s="60" t="s">
        <v>1127</v>
      </c>
      <c r="P79" s="363">
        <f>IF(O79="","",IF(VLOOKUP(O79,'G-7 WaterC'' Data'!$AD$4:$AE$14,2,FALSE)=0,"Spatial Data Missing ⚠",VLOOKUP(O79,'G-7 WaterC'' Data'!$AD$4:$AE$14,2,FALSE)))</f>
        <v>0.75</v>
      </c>
      <c r="Q79" s="369" t="str">
        <f>IF(D79="","",VLOOKUP(D79,'G-7 WaterC'' Data'!$B$2:$G$8,6,FALSE))</f>
        <v>Same habitat required =</v>
      </c>
      <c r="R79" s="376">
        <f>IFERROR(IF(D79="","",IF(AND(Q79='G-1 All Habitats'!$X$3,U79&gt;0),V79+W79,IF(AND(Q79='G-1 All Habitats'!$X$3,T79&gt;0),V79+W79,IF(AND(Q79='G-1 All Habitats'!$X$3,AD79&gt;0),"Any Loss Unacceptable ⚠",IF(AND(Q79='G-1 All Habitats'!$X$3,AE79&gt;0),"Any Loss Unacceptable ⚠", E79*G79*I79*L79*N79*P79 ))))),"Check Data ▲")</f>
        <v>1.0114655531307903</v>
      </c>
      <c r="S79" s="32"/>
      <c r="T79" s="114">
        <v>0</v>
      </c>
      <c r="U79" s="125">
        <v>0.33715518437693009</v>
      </c>
      <c r="V79" s="374">
        <f t="shared" si="7"/>
        <v>0</v>
      </c>
      <c r="W79" s="374">
        <f t="shared" si="8"/>
        <v>1.0114655531307903</v>
      </c>
      <c r="X79" s="374">
        <f t="shared" si="9"/>
        <v>0</v>
      </c>
      <c r="Y79" s="670">
        <f t="shared" si="10"/>
        <v>0</v>
      </c>
      <c r="Z79" s="706"/>
      <c r="AA79" s="704"/>
      <c r="AB79" s="120"/>
      <c r="AC79" s="120" t="s">
        <v>2071</v>
      </c>
      <c r="AD79" s="57" t="str">
        <f>IF(Q79="","",IF(Q79='G-1 All Habitats'!$X$3,E79-T79-U79,"None"))</f>
        <v>None</v>
      </c>
      <c r="AE79" s="58" t="str">
        <f>IF(Q79="","", IF(Q79='G-1 All Habitats'!$X$3, AD79*G79*I79*L79*N79*P79,"None"))</f>
        <v>None</v>
      </c>
      <c r="AH79" s="30">
        <f t="shared" si="11"/>
        <v>0</v>
      </c>
      <c r="AI79" s="124" t="b">
        <f t="shared" si="12"/>
        <v>0</v>
      </c>
      <c r="AJ79" s="124" t="b">
        <f t="shared" si="13"/>
        <v>1</v>
      </c>
      <c r="AL79" s="124">
        <v>70</v>
      </c>
      <c r="AN79" s="124" t="str">
        <f t="array" ref="AN79">IFERROR(INDEX($AL$10:$AL$258, MATCH(0, IF(TRUE=$AI$10:$AI$258, COUNTIF($AN$9:$AN78, $AL$10:$AL$258), ""), 0)),"")</f>
        <v/>
      </c>
      <c r="AO79" s="124">
        <f t="array" ref="AO79">IFERROR(INDEX($AL$10:$AL$258, MATCH(0, IF(TRUE=$AJ$10:$AJ$258, COUNTIF($AO$9:$AO78, $AL$10:$AL$258), ""), 0)),"")</f>
        <v>75</v>
      </c>
      <c r="AQ79" s="30" t="str">
        <f>IFERROR(INDEX('G-7 WaterC'' Data'!$AZ$3:$AZ$7,MATCH(D79,'G-7 WaterC'' Data'!$AY$3:$AY$7,0)),"")</f>
        <v>Rivercond1</v>
      </c>
      <c r="AR79" s="30" t="str">
        <f>IFERROR(INDEX('G-7 WaterC'' Data'!AZ79:AZ83,MATCH(D79,'G-7 WaterC'' Data'!$AY$10:$AY$14,0)),"")</f>
        <v/>
      </c>
    </row>
    <row r="80" spans="3:44" ht="28.5" x14ac:dyDescent="0.2">
      <c r="C80" s="110">
        <v>71</v>
      </c>
      <c r="D80" s="338" t="s">
        <v>198</v>
      </c>
      <c r="E80" s="139">
        <v>1.7802293593380043E-2</v>
      </c>
      <c r="F80" s="362" t="str">
        <f>IF(D80="","",VLOOKUP(D80,'G-7 WaterC'' Data'!$B$2:$G$8,2,FALSE))</f>
        <v>Medium</v>
      </c>
      <c r="G80" s="363">
        <f>IFERROR(VLOOKUP(F80,'G-7 WaterC'' Data'!$C$4:$D$8,2,FALSE),"")</f>
        <v>4</v>
      </c>
      <c r="H80" s="114" t="s">
        <v>329</v>
      </c>
      <c r="I80" s="363">
        <f>IFERROR(INDEX('G-7 WaterC'' Data'!$H$4:$L$8,MATCH(D80,'G-7 WaterC'' Data'!$B$4:$B$8,0),MATCH(H80,'G-7 WaterC'' Data'!$H$3:$L$3,0)),"")</f>
        <v>1</v>
      </c>
      <c r="J80" s="320" t="s">
        <v>1029</v>
      </c>
      <c r="K80" s="398" t="str">
        <f>IF(J80="","",IF(VLOOKUP(J80,'G-7 WaterC'' Data'!$AK$4:$AM$6,2,FALSE)=0,"Spatial Data Missing ⚠",VLOOKUP(J80,'G-7 WaterC'' Data'!$AK$4:$AM$6,2,FALSE)))</f>
        <v xml:space="preserve">High strategic significance </v>
      </c>
      <c r="L80" s="368">
        <f>IF(J80="","",IF(VLOOKUP(J80,'G-7 WaterC'' Data'!$AK$4:$AM$9,3,FALSE)=0,"Spatial Data Missing ⚠",VLOOKUP(J80,'G-7 WaterC'' Data'!$AK$4:$AM$6,3,FALSE)))</f>
        <v>1.1499999999999999</v>
      </c>
      <c r="M80" s="54" t="s">
        <v>1126</v>
      </c>
      <c r="N80" s="363">
        <f>IF(M80="","",IF(VLOOKUP(M80,'G-7 WaterC'' Data'!$AA$4:$AB$7,2,FALSE)=0,"Spatial Data Missing ⚠",VLOOKUP(M80,'G-7 WaterC'' Data'!$AA$4:$AB$7,2,FALSE)))</f>
        <v>1</v>
      </c>
      <c r="O80" s="60" t="s">
        <v>1127</v>
      </c>
      <c r="P80" s="363">
        <f>IF(O80="","",IF(VLOOKUP(O80,'G-7 WaterC'' Data'!$AD$4:$AE$14,2,FALSE)=0,"Spatial Data Missing ⚠",VLOOKUP(O80,'G-7 WaterC'' Data'!$AD$4:$AE$14,2,FALSE)))</f>
        <v>0.75</v>
      </c>
      <c r="Q80" s="369" t="str">
        <f>IF(D80="","",VLOOKUP(D80,'G-7 WaterC'' Data'!$B$2:$G$8,6,FALSE))</f>
        <v>Same habitat required =</v>
      </c>
      <c r="R80" s="376">
        <f>IFERROR(IF(D80="","",IF(AND(Q80='G-1 All Habitats'!$X$3,U80&gt;0),V80+W80,IF(AND(Q80='G-1 All Habitats'!$X$3,T80&gt;0),V80+W80,IF(AND(Q80='G-1 All Habitats'!$X$3,AD80&gt;0),"Any Loss Unacceptable ⚠",IF(AND(Q80='G-1 All Habitats'!$X$3,AE80&gt;0),"Any Loss Unacceptable ⚠", E80*G80*I80*L80*N80*P80 ))))),"Check Data ▲")</f>
        <v>6.1417912897161142E-2</v>
      </c>
      <c r="S80" s="32"/>
      <c r="T80" s="114">
        <v>0</v>
      </c>
      <c r="U80" s="125">
        <v>1.7802293593380043E-2</v>
      </c>
      <c r="V80" s="374">
        <f t="shared" si="7"/>
        <v>0</v>
      </c>
      <c r="W80" s="374">
        <f t="shared" si="8"/>
        <v>6.1417912897161142E-2</v>
      </c>
      <c r="X80" s="374">
        <f t="shared" si="9"/>
        <v>0</v>
      </c>
      <c r="Y80" s="670">
        <f t="shared" si="10"/>
        <v>0</v>
      </c>
      <c r="Z80" s="706"/>
      <c r="AA80" s="704"/>
      <c r="AB80" s="120"/>
      <c r="AC80" s="120" t="s">
        <v>2072</v>
      </c>
      <c r="AD80" s="57" t="str">
        <f>IF(Q80="","",IF(Q80='G-1 All Habitats'!$X$3,E80-T80-U80,"None"))</f>
        <v>None</v>
      </c>
      <c r="AE80" s="58" t="str">
        <f>IF(Q80="","", IF(Q80='G-1 All Habitats'!$X$3, AD80*G80*I80*L80*N80*P80,"None"))</f>
        <v>None</v>
      </c>
      <c r="AH80" s="30">
        <f t="shared" si="11"/>
        <v>0</v>
      </c>
      <c r="AI80" s="124" t="b">
        <f t="shared" si="12"/>
        <v>0</v>
      </c>
      <c r="AJ80" s="124" t="b">
        <f t="shared" si="13"/>
        <v>1</v>
      </c>
      <c r="AL80" s="124">
        <v>71</v>
      </c>
      <c r="AN80" s="124" t="str">
        <f t="array" ref="AN80">IFERROR(INDEX($AL$10:$AL$258, MATCH(0, IF(TRUE=$AI$10:$AI$258, COUNTIF($AN$9:$AN79, $AL$10:$AL$258), ""), 0)),"")</f>
        <v/>
      </c>
      <c r="AO80" s="124">
        <f t="array" ref="AO80">IFERROR(INDEX($AL$10:$AL$258, MATCH(0, IF(TRUE=$AJ$10:$AJ$258, COUNTIF($AO$9:$AO79, $AL$10:$AL$258), ""), 0)),"")</f>
        <v>76</v>
      </c>
      <c r="AQ80" s="30" t="str">
        <f>IFERROR(INDEX('G-7 WaterC'' Data'!$AZ$3:$AZ$7,MATCH(D80,'G-7 WaterC'' Data'!$AY$3:$AY$7,0)),"")</f>
        <v>Rivercond1</v>
      </c>
      <c r="AR80" s="30" t="str">
        <f>IFERROR(INDEX('G-7 WaterC'' Data'!AZ80:AZ84,MATCH(D80,'G-7 WaterC'' Data'!$AY$10:$AY$14,0)),"")</f>
        <v/>
      </c>
    </row>
    <row r="81" spans="3:44" ht="28.5" x14ac:dyDescent="0.2">
      <c r="C81" s="110">
        <v>72</v>
      </c>
      <c r="D81" s="338" t="s">
        <v>198</v>
      </c>
      <c r="E81" s="139">
        <v>0.87727190707554381</v>
      </c>
      <c r="F81" s="362" t="str">
        <f>IF(D81="","",VLOOKUP(D81,'G-7 WaterC'' Data'!$B$2:$G$8,2,FALSE))</f>
        <v>Medium</v>
      </c>
      <c r="G81" s="363">
        <f>IFERROR(VLOOKUP(F81,'G-7 WaterC'' Data'!$C$4:$D$8,2,FALSE),"")</f>
        <v>4</v>
      </c>
      <c r="H81" s="114" t="s">
        <v>329</v>
      </c>
      <c r="I81" s="363">
        <f>IFERROR(INDEX('G-7 WaterC'' Data'!$H$4:$L$8,MATCH(D81,'G-7 WaterC'' Data'!$B$4:$B$8,0),MATCH(H81,'G-7 WaterC'' Data'!$H$3:$L$3,0)),"")</f>
        <v>1</v>
      </c>
      <c r="J81" s="320" t="s">
        <v>1037</v>
      </c>
      <c r="K81" s="398" t="str">
        <f>IF(J81="","",IF(VLOOKUP(J81,'G-7 WaterC'' Data'!$AK$4:$AM$6,2,FALSE)=0,"Spatial Data Missing ⚠",VLOOKUP(J81,'G-7 WaterC'' Data'!$AK$4:$AM$6,2,FALSE)))</f>
        <v>Low Strategic Significance</v>
      </c>
      <c r="L81" s="368">
        <f>IF(J81="","",IF(VLOOKUP(J81,'G-7 WaterC'' Data'!$AK$4:$AM$9,3,FALSE)=0,"Spatial Data Missing ⚠",VLOOKUP(J81,'G-7 WaterC'' Data'!$AK$4:$AM$6,3,FALSE)))</f>
        <v>1</v>
      </c>
      <c r="M81" s="54" t="s">
        <v>1126</v>
      </c>
      <c r="N81" s="363">
        <f>IF(M81="","",IF(VLOOKUP(M81,'G-7 WaterC'' Data'!$AA$4:$AB$7,2,FALSE)=0,"Spatial Data Missing ⚠",VLOOKUP(M81,'G-7 WaterC'' Data'!$AA$4:$AB$7,2,FALSE)))</f>
        <v>1</v>
      </c>
      <c r="O81" s="60" t="s">
        <v>1127</v>
      </c>
      <c r="P81" s="363">
        <f>IF(O81="","",IF(VLOOKUP(O81,'G-7 WaterC'' Data'!$AD$4:$AE$14,2,FALSE)=0,"Spatial Data Missing ⚠",VLOOKUP(O81,'G-7 WaterC'' Data'!$AD$4:$AE$14,2,FALSE)))</f>
        <v>0.75</v>
      </c>
      <c r="Q81" s="369" t="str">
        <f>IF(D81="","",VLOOKUP(D81,'G-7 WaterC'' Data'!$B$2:$G$8,6,FALSE))</f>
        <v>Same habitat required =</v>
      </c>
      <c r="R81" s="376">
        <f>IFERROR(IF(D81="","",IF(AND(Q81='G-1 All Habitats'!$X$3,U81&gt;0),V81+W81,IF(AND(Q81='G-1 All Habitats'!$X$3,T81&gt;0),V81+W81,IF(AND(Q81='G-1 All Habitats'!$X$3,AD81&gt;0),"Any Loss Unacceptable ⚠",IF(AND(Q81='G-1 All Habitats'!$X$3,AE81&gt;0),"Any Loss Unacceptable ⚠", E81*G81*I81*L81*N81*P81 ))))),"Check Data ▲")</f>
        <v>2.6318157212266313</v>
      </c>
      <c r="S81" s="32"/>
      <c r="T81" s="114">
        <v>0</v>
      </c>
      <c r="U81" s="125">
        <v>0.87727190707554381</v>
      </c>
      <c r="V81" s="374">
        <f t="shared" si="7"/>
        <v>0</v>
      </c>
      <c r="W81" s="374">
        <f t="shared" si="8"/>
        <v>2.6318157212266313</v>
      </c>
      <c r="X81" s="374">
        <f t="shared" si="9"/>
        <v>0</v>
      </c>
      <c r="Y81" s="670">
        <f t="shared" si="10"/>
        <v>0</v>
      </c>
      <c r="Z81" s="706"/>
      <c r="AA81" s="704"/>
      <c r="AB81" s="120"/>
      <c r="AC81" s="120" t="s">
        <v>2073</v>
      </c>
      <c r="AD81" s="57" t="str">
        <f>IF(Q81="","",IF(Q81='G-1 All Habitats'!$X$3,E81-T81-U81,"None"))</f>
        <v>None</v>
      </c>
      <c r="AE81" s="58" t="str">
        <f>IF(Q81="","", IF(Q81='G-1 All Habitats'!$X$3, AD81*G81*I81*L81*N81*P81,"None"))</f>
        <v>None</v>
      </c>
      <c r="AH81" s="30">
        <f t="shared" si="11"/>
        <v>0</v>
      </c>
      <c r="AI81" s="124" t="b">
        <f t="shared" si="12"/>
        <v>0</v>
      </c>
      <c r="AJ81" s="124" t="b">
        <f t="shared" si="13"/>
        <v>1</v>
      </c>
      <c r="AL81" s="124">
        <v>72</v>
      </c>
      <c r="AN81" s="124" t="str">
        <f t="array" ref="AN81">IFERROR(INDEX($AL$10:$AL$258, MATCH(0, IF(TRUE=$AI$10:$AI$258, COUNTIF($AN$9:$AN80, $AL$10:$AL$258), ""), 0)),"")</f>
        <v/>
      </c>
      <c r="AO81" s="124">
        <f t="array" ref="AO81">IFERROR(INDEX($AL$10:$AL$258, MATCH(0, IF(TRUE=$AJ$10:$AJ$258, COUNTIF($AO$9:$AO80, $AL$10:$AL$258), ""), 0)),"")</f>
        <v>77</v>
      </c>
      <c r="AQ81" s="30" t="str">
        <f>IFERROR(INDEX('G-7 WaterC'' Data'!$AZ$3:$AZ$7,MATCH(D81,'G-7 WaterC'' Data'!$AY$3:$AY$7,0)),"")</f>
        <v>Rivercond1</v>
      </c>
      <c r="AR81" s="30" t="str">
        <f>IFERROR(INDEX('G-7 WaterC'' Data'!AZ81:AZ85,MATCH(D81,'G-7 WaterC'' Data'!$AY$10:$AY$14,0)),"")</f>
        <v/>
      </c>
    </row>
    <row r="82" spans="3:44" ht="28.5" x14ac:dyDescent="0.2">
      <c r="C82" s="110">
        <v>73</v>
      </c>
      <c r="D82" s="338" t="s">
        <v>198</v>
      </c>
      <c r="E82" s="139">
        <v>0.1187931171146637</v>
      </c>
      <c r="F82" s="362" t="str">
        <f>IF(D82="","",VLOOKUP(D82,'G-7 WaterC'' Data'!$B$2:$G$8,2,FALSE))</f>
        <v>Medium</v>
      </c>
      <c r="G82" s="363">
        <f>IFERROR(VLOOKUP(F82,'G-7 WaterC'' Data'!$C$4:$D$8,2,FALSE),"")</f>
        <v>4</v>
      </c>
      <c r="H82" s="114" t="s">
        <v>329</v>
      </c>
      <c r="I82" s="363">
        <f>IFERROR(INDEX('G-7 WaterC'' Data'!$H$4:$L$8,MATCH(D82,'G-7 WaterC'' Data'!$B$4:$B$8,0),MATCH(H82,'G-7 WaterC'' Data'!$H$3:$L$3,0)),"")</f>
        <v>1</v>
      </c>
      <c r="J82" s="320" t="s">
        <v>1037</v>
      </c>
      <c r="K82" s="398" t="str">
        <f>IF(J82="","",IF(VLOOKUP(J82,'G-7 WaterC'' Data'!$AK$4:$AM$6,2,FALSE)=0,"Spatial Data Missing ⚠",VLOOKUP(J82,'G-7 WaterC'' Data'!$AK$4:$AM$6,2,FALSE)))</f>
        <v>Low Strategic Significance</v>
      </c>
      <c r="L82" s="368">
        <f>IF(J82="","",IF(VLOOKUP(J82,'G-7 WaterC'' Data'!$AK$4:$AM$9,3,FALSE)=0,"Spatial Data Missing ⚠",VLOOKUP(J82,'G-7 WaterC'' Data'!$AK$4:$AM$6,3,FALSE)))</f>
        <v>1</v>
      </c>
      <c r="M82" s="54" t="s">
        <v>1126</v>
      </c>
      <c r="N82" s="363">
        <f>IF(M82="","",IF(VLOOKUP(M82,'G-7 WaterC'' Data'!$AA$4:$AB$7,2,FALSE)=0,"Spatial Data Missing ⚠",VLOOKUP(M82,'G-7 WaterC'' Data'!$AA$4:$AB$7,2,FALSE)))</f>
        <v>1</v>
      </c>
      <c r="O82" s="60" t="s">
        <v>1127</v>
      </c>
      <c r="P82" s="363">
        <f>IF(O82="","",IF(VLOOKUP(O82,'G-7 WaterC'' Data'!$AD$4:$AE$14,2,FALSE)=0,"Spatial Data Missing ⚠",VLOOKUP(O82,'G-7 WaterC'' Data'!$AD$4:$AE$14,2,FALSE)))</f>
        <v>0.75</v>
      </c>
      <c r="Q82" s="369" t="str">
        <f>IF(D82="","",VLOOKUP(D82,'G-7 WaterC'' Data'!$B$2:$G$8,6,FALSE))</f>
        <v>Same habitat required =</v>
      </c>
      <c r="R82" s="376">
        <f>IFERROR(IF(D82="","",IF(AND(Q82='G-1 All Habitats'!$X$3,U82&gt;0),V82+W82,IF(AND(Q82='G-1 All Habitats'!$X$3,T82&gt;0),V82+W82,IF(AND(Q82='G-1 All Habitats'!$X$3,AD82&gt;0),"Any Loss Unacceptable ⚠",IF(AND(Q82='G-1 All Habitats'!$X$3,AE82&gt;0),"Any Loss Unacceptable ⚠", E82*G82*I82*L82*N82*P82 ))))),"Check Data ▲")</f>
        <v>0.35637935134399112</v>
      </c>
      <c r="S82" s="32"/>
      <c r="T82" s="114">
        <v>0</v>
      </c>
      <c r="U82" s="125">
        <v>0.1187931171146637</v>
      </c>
      <c r="V82" s="374">
        <f t="shared" si="7"/>
        <v>0</v>
      </c>
      <c r="W82" s="374">
        <f t="shared" si="8"/>
        <v>0.35637935134399112</v>
      </c>
      <c r="X82" s="374">
        <f t="shared" si="9"/>
        <v>0</v>
      </c>
      <c r="Y82" s="670">
        <f t="shared" si="10"/>
        <v>0</v>
      </c>
      <c r="Z82" s="706"/>
      <c r="AA82" s="704"/>
      <c r="AB82" s="120"/>
      <c r="AC82" s="120" t="s">
        <v>2074</v>
      </c>
      <c r="AD82" s="57" t="str">
        <f>IF(Q82="","",IF(Q82='G-1 All Habitats'!$X$3,E82-T82-U82,"None"))</f>
        <v>None</v>
      </c>
      <c r="AE82" s="58" t="str">
        <f>IF(Q82="","", IF(Q82='G-1 All Habitats'!$X$3, AD82*G82*I82*L82*N82*P82,"None"))</f>
        <v>None</v>
      </c>
      <c r="AH82" s="30">
        <f t="shared" si="11"/>
        <v>0</v>
      </c>
      <c r="AI82" s="124" t="b">
        <f t="shared" si="12"/>
        <v>0</v>
      </c>
      <c r="AJ82" s="124" t="b">
        <f t="shared" si="13"/>
        <v>1</v>
      </c>
      <c r="AL82" s="124">
        <v>73</v>
      </c>
      <c r="AN82" s="124" t="str">
        <f t="array" ref="AN82">IFERROR(INDEX($AL$10:$AL$258, MATCH(0, IF(TRUE=$AI$10:$AI$258, COUNTIF($AN$9:$AN81, $AL$10:$AL$258), ""), 0)),"")</f>
        <v/>
      </c>
      <c r="AO82" s="124">
        <f t="array" ref="AO82">IFERROR(INDEX($AL$10:$AL$258, MATCH(0, IF(TRUE=$AJ$10:$AJ$258, COUNTIF($AO$9:$AO81, $AL$10:$AL$258), ""), 0)),"")</f>
        <v>78</v>
      </c>
      <c r="AQ82" s="30" t="str">
        <f>IFERROR(INDEX('G-7 WaterC'' Data'!$AZ$3:$AZ$7,MATCH(D82,'G-7 WaterC'' Data'!$AY$3:$AY$7,0)),"")</f>
        <v>Rivercond1</v>
      </c>
      <c r="AR82" s="30" t="str">
        <f>IFERROR(INDEX('G-7 WaterC'' Data'!AZ82:AZ86,MATCH(D82,'G-7 WaterC'' Data'!$AY$10:$AY$14,0)),"")</f>
        <v/>
      </c>
    </row>
    <row r="83" spans="3:44" ht="28.5" x14ac:dyDescent="0.2">
      <c r="C83" s="110">
        <v>74</v>
      </c>
      <c r="D83" s="338" t="s">
        <v>198</v>
      </c>
      <c r="E83" s="139">
        <v>0.31368463809220193</v>
      </c>
      <c r="F83" s="362" t="str">
        <f>IF(D83="","",VLOOKUP(D83,'G-7 WaterC'' Data'!$B$2:$G$8,2,FALSE))</f>
        <v>Medium</v>
      </c>
      <c r="G83" s="363">
        <f>IFERROR(VLOOKUP(F83,'G-7 WaterC'' Data'!$C$4:$D$8,2,FALSE),"")</f>
        <v>4</v>
      </c>
      <c r="H83" s="114" t="s">
        <v>329</v>
      </c>
      <c r="I83" s="363">
        <f>IFERROR(INDEX('G-7 WaterC'' Data'!$H$4:$L$8,MATCH(D83,'G-7 WaterC'' Data'!$B$4:$B$8,0),MATCH(H83,'G-7 WaterC'' Data'!$H$3:$L$3,0)),"")</f>
        <v>1</v>
      </c>
      <c r="J83" s="320" t="s">
        <v>1037</v>
      </c>
      <c r="K83" s="398" t="str">
        <f>IF(J83="","",IF(VLOOKUP(J83,'G-7 WaterC'' Data'!$AK$4:$AM$6,2,FALSE)=0,"Spatial Data Missing ⚠",VLOOKUP(J83,'G-7 WaterC'' Data'!$AK$4:$AM$6,2,FALSE)))</f>
        <v>Low Strategic Significance</v>
      </c>
      <c r="L83" s="368">
        <f>IF(J83="","",IF(VLOOKUP(J83,'G-7 WaterC'' Data'!$AK$4:$AM$9,3,FALSE)=0,"Spatial Data Missing ⚠",VLOOKUP(J83,'G-7 WaterC'' Data'!$AK$4:$AM$6,3,FALSE)))</f>
        <v>1</v>
      </c>
      <c r="M83" s="54" t="s">
        <v>1126</v>
      </c>
      <c r="N83" s="363">
        <f>IF(M83="","",IF(VLOOKUP(M83,'G-7 WaterC'' Data'!$AA$4:$AB$7,2,FALSE)=0,"Spatial Data Missing ⚠",VLOOKUP(M83,'G-7 WaterC'' Data'!$AA$4:$AB$7,2,FALSE)))</f>
        <v>1</v>
      </c>
      <c r="O83" s="60" t="s">
        <v>1127</v>
      </c>
      <c r="P83" s="363">
        <f>IF(O83="","",IF(VLOOKUP(O83,'G-7 WaterC'' Data'!$AD$4:$AE$14,2,FALSE)=0,"Spatial Data Missing ⚠",VLOOKUP(O83,'G-7 WaterC'' Data'!$AD$4:$AE$14,2,FALSE)))</f>
        <v>0.75</v>
      </c>
      <c r="Q83" s="369" t="str">
        <f>IF(D83="","",VLOOKUP(D83,'G-7 WaterC'' Data'!$B$2:$G$8,6,FALSE))</f>
        <v>Same habitat required =</v>
      </c>
      <c r="R83" s="376">
        <f>IFERROR(IF(D83="","",IF(AND(Q83='G-1 All Habitats'!$X$3,U83&gt;0),V83+W83,IF(AND(Q83='G-1 All Habitats'!$X$3,T83&gt;0),V83+W83,IF(AND(Q83='G-1 All Habitats'!$X$3,AD83&gt;0),"Any Loss Unacceptable ⚠",IF(AND(Q83='G-1 All Habitats'!$X$3,AE83&gt;0),"Any Loss Unacceptable ⚠", E83*G83*I83*L83*N83*P83 ))))),"Check Data ▲")</f>
        <v>0.94105391427660579</v>
      </c>
      <c r="S83" s="32"/>
      <c r="T83" s="114">
        <v>0</v>
      </c>
      <c r="U83" s="125">
        <v>0.31368463809220193</v>
      </c>
      <c r="V83" s="374">
        <f t="shared" si="7"/>
        <v>0</v>
      </c>
      <c r="W83" s="374">
        <f t="shared" si="8"/>
        <v>0.94105391427660579</v>
      </c>
      <c r="X83" s="374">
        <f t="shared" si="9"/>
        <v>0</v>
      </c>
      <c r="Y83" s="670">
        <f t="shared" si="10"/>
        <v>0</v>
      </c>
      <c r="Z83" s="706"/>
      <c r="AA83" s="704"/>
      <c r="AB83" s="120"/>
      <c r="AC83" s="120" t="s">
        <v>2075</v>
      </c>
      <c r="AD83" s="57" t="str">
        <f>IF(Q83="","",IF(Q83='G-1 All Habitats'!$X$3,E83-T83-U83,"None"))</f>
        <v>None</v>
      </c>
      <c r="AE83" s="58" t="str">
        <f>IF(Q83="","", IF(Q83='G-1 All Habitats'!$X$3, AD83*G83*I83*L83*N83*P83,"None"))</f>
        <v>None</v>
      </c>
      <c r="AH83" s="30">
        <f t="shared" si="11"/>
        <v>0</v>
      </c>
      <c r="AI83" s="124" t="b">
        <f t="shared" si="12"/>
        <v>0</v>
      </c>
      <c r="AJ83" s="124" t="b">
        <f t="shared" si="13"/>
        <v>1</v>
      </c>
      <c r="AL83" s="124">
        <v>74</v>
      </c>
      <c r="AN83" s="124" t="str">
        <f t="array" ref="AN83">IFERROR(INDEX($AL$10:$AL$258, MATCH(0, IF(TRUE=$AI$10:$AI$258, COUNTIF($AN$9:$AN82, $AL$10:$AL$258), ""), 0)),"")</f>
        <v/>
      </c>
      <c r="AO83" s="124">
        <f t="array" ref="AO83">IFERROR(INDEX($AL$10:$AL$258, MATCH(0, IF(TRUE=$AJ$10:$AJ$258, COUNTIF($AO$9:$AO82, $AL$10:$AL$258), ""), 0)),"")</f>
        <v>79</v>
      </c>
      <c r="AQ83" s="30" t="str">
        <f>IFERROR(INDEX('G-7 WaterC'' Data'!$AZ$3:$AZ$7,MATCH(D83,'G-7 WaterC'' Data'!$AY$3:$AY$7,0)),"")</f>
        <v>Rivercond1</v>
      </c>
      <c r="AR83" s="30" t="str">
        <f>IFERROR(INDEX('G-7 WaterC'' Data'!AZ83:AZ87,MATCH(D83,'G-7 WaterC'' Data'!$AY$10:$AY$14,0)),"")</f>
        <v/>
      </c>
    </row>
    <row r="84" spans="3:44" ht="28.5" x14ac:dyDescent="0.2">
      <c r="C84" s="110">
        <v>75</v>
      </c>
      <c r="D84" s="338" t="s">
        <v>198</v>
      </c>
      <c r="E84" s="139">
        <v>0.82912201171457767</v>
      </c>
      <c r="F84" s="362" t="str">
        <f>IF(D84="","",VLOOKUP(D84,'G-7 WaterC'' Data'!$B$2:$G$8,2,FALSE))</f>
        <v>Medium</v>
      </c>
      <c r="G84" s="363">
        <f>IFERROR(VLOOKUP(F84,'G-7 WaterC'' Data'!$C$4:$D$8,2,FALSE),"")</f>
        <v>4</v>
      </c>
      <c r="H84" s="114" t="s">
        <v>329</v>
      </c>
      <c r="I84" s="363">
        <f>IFERROR(INDEX('G-7 WaterC'' Data'!$H$4:$L$8,MATCH(D84,'G-7 WaterC'' Data'!$B$4:$B$8,0),MATCH(H84,'G-7 WaterC'' Data'!$H$3:$L$3,0)),"")</f>
        <v>1</v>
      </c>
      <c r="J84" s="320" t="s">
        <v>1037</v>
      </c>
      <c r="K84" s="398" t="str">
        <f>IF(J84="","",IF(VLOOKUP(J84,'G-7 WaterC'' Data'!$AK$4:$AM$6,2,FALSE)=0,"Spatial Data Missing ⚠",VLOOKUP(J84,'G-7 WaterC'' Data'!$AK$4:$AM$6,2,FALSE)))</f>
        <v>Low Strategic Significance</v>
      </c>
      <c r="L84" s="368">
        <f>IF(J84="","",IF(VLOOKUP(J84,'G-7 WaterC'' Data'!$AK$4:$AM$9,3,FALSE)=0,"Spatial Data Missing ⚠",VLOOKUP(J84,'G-7 WaterC'' Data'!$AK$4:$AM$6,3,FALSE)))</f>
        <v>1</v>
      </c>
      <c r="M84" s="54" t="s">
        <v>1126</v>
      </c>
      <c r="N84" s="363">
        <f>IF(M84="","",IF(VLOOKUP(M84,'G-7 WaterC'' Data'!$AA$4:$AB$7,2,FALSE)=0,"Spatial Data Missing ⚠",VLOOKUP(M84,'G-7 WaterC'' Data'!$AA$4:$AB$7,2,FALSE)))</f>
        <v>1</v>
      </c>
      <c r="O84" s="60" t="s">
        <v>1127</v>
      </c>
      <c r="P84" s="363">
        <f>IF(O84="","",IF(VLOOKUP(O84,'G-7 WaterC'' Data'!$AD$4:$AE$14,2,FALSE)=0,"Spatial Data Missing ⚠",VLOOKUP(O84,'G-7 WaterC'' Data'!$AD$4:$AE$14,2,FALSE)))</f>
        <v>0.75</v>
      </c>
      <c r="Q84" s="369" t="str">
        <f>IF(D84="","",VLOOKUP(D84,'G-7 WaterC'' Data'!$B$2:$G$8,6,FALSE))</f>
        <v>Same habitat required =</v>
      </c>
      <c r="R84" s="376">
        <f>IFERROR(IF(D84="","",IF(AND(Q84='G-1 All Habitats'!$X$3,U84&gt;0),V84+W84,IF(AND(Q84='G-1 All Habitats'!$X$3,T84&gt;0),V84+W84,IF(AND(Q84='G-1 All Habitats'!$X$3,AD84&gt;0),"Any Loss Unacceptable ⚠",IF(AND(Q84='G-1 All Habitats'!$X$3,AE84&gt;0),"Any Loss Unacceptable ⚠", E84*G84*I84*L84*N84*P84 ))))),"Check Data ▲")</f>
        <v>2.487366035143733</v>
      </c>
      <c r="S84" s="32"/>
      <c r="T84" s="114">
        <v>0</v>
      </c>
      <c r="U84" s="125">
        <v>0.82912201171457767</v>
      </c>
      <c r="V84" s="374">
        <f t="shared" si="7"/>
        <v>0</v>
      </c>
      <c r="W84" s="374">
        <f t="shared" si="8"/>
        <v>2.487366035143733</v>
      </c>
      <c r="X84" s="374">
        <f t="shared" si="9"/>
        <v>0</v>
      </c>
      <c r="Y84" s="670">
        <f t="shared" si="10"/>
        <v>0</v>
      </c>
      <c r="Z84" s="706"/>
      <c r="AA84" s="704"/>
      <c r="AB84" s="120"/>
      <c r="AC84" s="120" t="s">
        <v>2076</v>
      </c>
      <c r="AD84" s="57" t="str">
        <f>IF(Q84="","",IF(Q84='G-1 All Habitats'!$X$3,E84-T84-U84,"None"))</f>
        <v>None</v>
      </c>
      <c r="AE84" s="58" t="str">
        <f>IF(Q84="","", IF(Q84='G-1 All Habitats'!$X$3, AD84*G84*I84*L84*N84*P84,"None"))</f>
        <v>None</v>
      </c>
      <c r="AH84" s="30">
        <f t="shared" si="11"/>
        <v>0</v>
      </c>
      <c r="AI84" s="124" t="b">
        <f t="shared" si="12"/>
        <v>0</v>
      </c>
      <c r="AJ84" s="124" t="b">
        <f t="shared" si="13"/>
        <v>1</v>
      </c>
      <c r="AL84" s="124">
        <v>75</v>
      </c>
      <c r="AN84" s="124" t="str">
        <f t="array" ref="AN84">IFERROR(INDEX($AL$10:$AL$258, MATCH(0, IF(TRUE=$AI$10:$AI$258, COUNTIF($AN$9:$AN83, $AL$10:$AL$258), ""), 0)),"")</f>
        <v/>
      </c>
      <c r="AO84" s="124">
        <f t="array" ref="AO84">IFERROR(INDEX($AL$10:$AL$258, MATCH(0, IF(TRUE=$AJ$10:$AJ$258, COUNTIF($AO$9:$AO83, $AL$10:$AL$258), ""), 0)),"")</f>
        <v>80</v>
      </c>
      <c r="AQ84" s="30" t="str">
        <f>IFERROR(INDEX('G-7 WaterC'' Data'!$AZ$3:$AZ$7,MATCH(D84,'G-7 WaterC'' Data'!$AY$3:$AY$7,0)),"")</f>
        <v>Rivercond1</v>
      </c>
      <c r="AR84" s="30" t="str">
        <f>IFERROR(INDEX('G-7 WaterC'' Data'!AZ84:AZ88,MATCH(D84,'G-7 WaterC'' Data'!$AY$10:$AY$14,0)),"")</f>
        <v/>
      </c>
    </row>
    <row r="85" spans="3:44" ht="28.5" x14ac:dyDescent="0.2">
      <c r="C85" s="110">
        <v>76</v>
      </c>
      <c r="D85" s="338" t="s">
        <v>198</v>
      </c>
      <c r="E85" s="139">
        <v>0.39201509929126771</v>
      </c>
      <c r="F85" s="362" t="str">
        <f>IF(D85="","",VLOOKUP(D85,'G-7 WaterC'' Data'!$B$2:$G$8,2,FALSE))</f>
        <v>Medium</v>
      </c>
      <c r="G85" s="363">
        <f>IFERROR(VLOOKUP(F85,'G-7 WaterC'' Data'!$C$4:$D$8,2,FALSE),"")</f>
        <v>4</v>
      </c>
      <c r="H85" s="114" t="s">
        <v>329</v>
      </c>
      <c r="I85" s="363">
        <f>IFERROR(INDEX('G-7 WaterC'' Data'!$H$4:$L$8,MATCH(D85,'G-7 WaterC'' Data'!$B$4:$B$8,0),MATCH(H85,'G-7 WaterC'' Data'!$H$3:$L$3,0)),"")</f>
        <v>1</v>
      </c>
      <c r="J85" s="320" t="s">
        <v>1037</v>
      </c>
      <c r="K85" s="398" t="str">
        <f>IF(J85="","",IF(VLOOKUP(J85,'G-7 WaterC'' Data'!$AK$4:$AM$6,2,FALSE)=0,"Spatial Data Missing ⚠",VLOOKUP(J85,'G-7 WaterC'' Data'!$AK$4:$AM$6,2,FALSE)))</f>
        <v>Low Strategic Significance</v>
      </c>
      <c r="L85" s="368">
        <f>IF(J85="","",IF(VLOOKUP(J85,'G-7 WaterC'' Data'!$AK$4:$AM$9,3,FALSE)=0,"Spatial Data Missing ⚠",VLOOKUP(J85,'G-7 WaterC'' Data'!$AK$4:$AM$6,3,FALSE)))</f>
        <v>1</v>
      </c>
      <c r="M85" s="54" t="s">
        <v>1126</v>
      </c>
      <c r="N85" s="363">
        <f>IF(M85="","",IF(VLOOKUP(M85,'G-7 WaterC'' Data'!$AA$4:$AB$7,2,FALSE)=0,"Spatial Data Missing ⚠",VLOOKUP(M85,'G-7 WaterC'' Data'!$AA$4:$AB$7,2,FALSE)))</f>
        <v>1</v>
      </c>
      <c r="O85" s="60" t="s">
        <v>1127</v>
      </c>
      <c r="P85" s="363">
        <f>IF(O85="","",IF(VLOOKUP(O85,'G-7 WaterC'' Data'!$AD$4:$AE$14,2,FALSE)=0,"Spatial Data Missing ⚠",VLOOKUP(O85,'G-7 WaterC'' Data'!$AD$4:$AE$14,2,FALSE)))</f>
        <v>0.75</v>
      </c>
      <c r="Q85" s="369" t="str">
        <f>IF(D85="","",VLOOKUP(D85,'G-7 WaterC'' Data'!$B$2:$G$8,6,FALSE))</f>
        <v>Same habitat required =</v>
      </c>
      <c r="R85" s="376">
        <f>IFERROR(IF(D85="","",IF(AND(Q85='G-1 All Habitats'!$X$3,U85&gt;0),V85+W85,IF(AND(Q85='G-1 All Habitats'!$X$3,T85&gt;0),V85+W85,IF(AND(Q85='G-1 All Habitats'!$X$3,AD85&gt;0),"Any Loss Unacceptable ⚠",IF(AND(Q85='G-1 All Habitats'!$X$3,AE85&gt;0),"Any Loss Unacceptable ⚠", E85*G85*I85*L85*N85*P85 ))))),"Check Data ▲")</f>
        <v>1.1760452978738032</v>
      </c>
      <c r="S85" s="32"/>
      <c r="T85" s="114">
        <v>0</v>
      </c>
      <c r="U85" s="125">
        <v>0.39201509929126771</v>
      </c>
      <c r="V85" s="374">
        <f t="shared" si="7"/>
        <v>0</v>
      </c>
      <c r="W85" s="374">
        <f t="shared" si="8"/>
        <v>1.1760452978738032</v>
      </c>
      <c r="X85" s="374">
        <f t="shared" si="9"/>
        <v>0</v>
      </c>
      <c r="Y85" s="670">
        <f t="shared" si="10"/>
        <v>0</v>
      </c>
      <c r="Z85" s="706"/>
      <c r="AA85" s="704"/>
      <c r="AB85" s="120"/>
      <c r="AC85" s="120" t="s">
        <v>2077</v>
      </c>
      <c r="AD85" s="57" t="str">
        <f>IF(Q85="","",IF(Q85='G-1 All Habitats'!$X$3,E85-T85-U85,"None"))</f>
        <v>None</v>
      </c>
      <c r="AE85" s="58" t="str">
        <f>IF(Q85="","", IF(Q85='G-1 All Habitats'!$X$3, AD85*G85*I85*L85*N85*P85,"None"))</f>
        <v>None</v>
      </c>
      <c r="AH85" s="30">
        <f t="shared" si="11"/>
        <v>0</v>
      </c>
      <c r="AI85" s="124" t="b">
        <f t="shared" si="12"/>
        <v>0</v>
      </c>
      <c r="AJ85" s="124" t="b">
        <f t="shared" si="13"/>
        <v>1</v>
      </c>
      <c r="AL85" s="124">
        <v>76</v>
      </c>
      <c r="AN85" s="124" t="str">
        <f t="array" ref="AN85">IFERROR(INDEX($AL$10:$AL$258, MATCH(0, IF(TRUE=$AI$10:$AI$258, COUNTIF($AN$9:$AN84, $AL$10:$AL$258), ""), 0)),"")</f>
        <v/>
      </c>
      <c r="AO85" s="124">
        <f t="array" ref="AO85">IFERROR(INDEX($AL$10:$AL$258, MATCH(0, IF(TRUE=$AJ$10:$AJ$258, COUNTIF($AO$9:$AO84, $AL$10:$AL$258), ""), 0)),"")</f>
        <v>81</v>
      </c>
      <c r="AQ85" s="30" t="str">
        <f>IFERROR(INDEX('G-7 WaterC'' Data'!$AZ$3:$AZ$7,MATCH(D85,'G-7 WaterC'' Data'!$AY$3:$AY$7,0)),"")</f>
        <v>Rivercond1</v>
      </c>
      <c r="AR85" s="30" t="str">
        <f>IFERROR(INDEX('G-7 WaterC'' Data'!AZ85:AZ89,MATCH(D85,'G-7 WaterC'' Data'!$AY$10:$AY$14,0)),"")</f>
        <v/>
      </c>
    </row>
    <row r="86" spans="3:44" ht="28.5" x14ac:dyDescent="0.2">
      <c r="C86" s="110">
        <v>77</v>
      </c>
      <c r="D86" s="338" t="s">
        <v>198</v>
      </c>
      <c r="E86" s="139">
        <v>0.76110622959393415</v>
      </c>
      <c r="F86" s="362" t="str">
        <f>IF(D86="","",VLOOKUP(D86,'G-7 WaterC'' Data'!$B$2:$G$8,2,FALSE))</f>
        <v>Medium</v>
      </c>
      <c r="G86" s="363">
        <f>IFERROR(VLOOKUP(F86,'G-7 WaterC'' Data'!$C$4:$D$8,2,FALSE),"")</f>
        <v>4</v>
      </c>
      <c r="H86" s="114" t="s">
        <v>329</v>
      </c>
      <c r="I86" s="363">
        <f>IFERROR(INDEX('G-7 WaterC'' Data'!$H$4:$L$8,MATCH(D86,'G-7 WaterC'' Data'!$B$4:$B$8,0),MATCH(H86,'G-7 WaterC'' Data'!$H$3:$L$3,0)),"")</f>
        <v>1</v>
      </c>
      <c r="J86" s="320" t="s">
        <v>1037</v>
      </c>
      <c r="K86" s="398" t="str">
        <f>IF(J86="","",IF(VLOOKUP(J86,'G-7 WaterC'' Data'!$AK$4:$AM$6,2,FALSE)=0,"Spatial Data Missing ⚠",VLOOKUP(J86,'G-7 WaterC'' Data'!$AK$4:$AM$6,2,FALSE)))</f>
        <v>Low Strategic Significance</v>
      </c>
      <c r="L86" s="368">
        <f>IF(J86="","",IF(VLOOKUP(J86,'G-7 WaterC'' Data'!$AK$4:$AM$9,3,FALSE)=0,"Spatial Data Missing ⚠",VLOOKUP(J86,'G-7 WaterC'' Data'!$AK$4:$AM$6,3,FALSE)))</f>
        <v>1</v>
      </c>
      <c r="M86" s="54" t="s">
        <v>1126</v>
      </c>
      <c r="N86" s="363">
        <f>IF(M86="","",IF(VLOOKUP(M86,'G-7 WaterC'' Data'!$AA$4:$AB$7,2,FALSE)=0,"Spatial Data Missing ⚠",VLOOKUP(M86,'G-7 WaterC'' Data'!$AA$4:$AB$7,2,FALSE)))</f>
        <v>1</v>
      </c>
      <c r="O86" s="60" t="s">
        <v>1127</v>
      </c>
      <c r="P86" s="363">
        <f>IF(O86="","",IF(VLOOKUP(O86,'G-7 WaterC'' Data'!$AD$4:$AE$14,2,FALSE)=0,"Spatial Data Missing ⚠",VLOOKUP(O86,'G-7 WaterC'' Data'!$AD$4:$AE$14,2,FALSE)))</f>
        <v>0.75</v>
      </c>
      <c r="Q86" s="369" t="str">
        <f>IF(D86="","",VLOOKUP(D86,'G-7 WaterC'' Data'!$B$2:$G$8,6,FALSE))</f>
        <v>Same habitat required =</v>
      </c>
      <c r="R86" s="376">
        <f>IFERROR(IF(D86="","",IF(AND(Q86='G-1 All Habitats'!$X$3,U86&gt;0),V86+W86,IF(AND(Q86='G-1 All Habitats'!$X$3,T86&gt;0),V86+W86,IF(AND(Q86='G-1 All Habitats'!$X$3,AD86&gt;0),"Any Loss Unacceptable ⚠",IF(AND(Q86='G-1 All Habitats'!$X$3,AE86&gt;0),"Any Loss Unacceptable ⚠", E86*G86*I86*L86*N86*P86 ))))),"Check Data ▲")</f>
        <v>2.2833186887818027</v>
      </c>
      <c r="S86" s="32"/>
      <c r="T86" s="114">
        <v>0</v>
      </c>
      <c r="U86" s="125">
        <v>0.76110622959393415</v>
      </c>
      <c r="V86" s="374">
        <f t="shared" si="7"/>
        <v>0</v>
      </c>
      <c r="W86" s="374">
        <f t="shared" si="8"/>
        <v>2.2833186887818027</v>
      </c>
      <c r="X86" s="374">
        <f t="shared" si="9"/>
        <v>0</v>
      </c>
      <c r="Y86" s="670">
        <f t="shared" si="10"/>
        <v>0</v>
      </c>
      <c r="Z86" s="706"/>
      <c r="AA86" s="704"/>
      <c r="AB86" s="120"/>
      <c r="AC86" s="120" t="s">
        <v>2078</v>
      </c>
      <c r="AD86" s="57" t="str">
        <f>IF(Q86="","",IF(Q86='G-1 All Habitats'!$X$3,E86-T86-U86,"None"))</f>
        <v>None</v>
      </c>
      <c r="AE86" s="58" t="str">
        <f>IF(Q86="","", IF(Q86='G-1 All Habitats'!$X$3, AD86*G86*I86*L86*N86*P86,"None"))</f>
        <v>None</v>
      </c>
      <c r="AH86" s="30">
        <f t="shared" si="11"/>
        <v>0</v>
      </c>
      <c r="AI86" s="124" t="b">
        <f t="shared" si="12"/>
        <v>0</v>
      </c>
      <c r="AJ86" s="124" t="b">
        <f t="shared" si="13"/>
        <v>1</v>
      </c>
      <c r="AL86" s="124">
        <v>77</v>
      </c>
      <c r="AN86" s="124" t="str">
        <f t="array" ref="AN86">IFERROR(INDEX($AL$10:$AL$258, MATCH(0, IF(TRUE=$AI$10:$AI$258, COUNTIF($AN$9:$AN85, $AL$10:$AL$258), ""), 0)),"")</f>
        <v/>
      </c>
      <c r="AO86" s="124">
        <f t="array" ref="AO86">IFERROR(INDEX($AL$10:$AL$258, MATCH(0, IF(TRUE=$AJ$10:$AJ$258, COUNTIF($AO$9:$AO85, $AL$10:$AL$258), ""), 0)),"")</f>
        <v>82</v>
      </c>
      <c r="AQ86" s="30" t="str">
        <f>IFERROR(INDEX('G-7 WaterC'' Data'!$AZ$3:$AZ$7,MATCH(D86,'G-7 WaterC'' Data'!$AY$3:$AY$7,0)),"")</f>
        <v>Rivercond1</v>
      </c>
      <c r="AR86" s="30" t="str">
        <f>IFERROR(INDEX('G-7 WaterC'' Data'!AZ86:AZ90,MATCH(D86,'G-7 WaterC'' Data'!$AY$10:$AY$14,0)),"")</f>
        <v/>
      </c>
    </row>
    <row r="87" spans="3:44" ht="28.5" x14ac:dyDescent="0.2">
      <c r="C87" s="110">
        <v>78</v>
      </c>
      <c r="D87" s="338" t="s">
        <v>198</v>
      </c>
      <c r="E87" s="139">
        <v>0.16726073068269301</v>
      </c>
      <c r="F87" s="362" t="str">
        <f>IF(D87="","",VLOOKUP(D87,'G-7 WaterC'' Data'!$B$2:$G$8,2,FALSE))</f>
        <v>Medium</v>
      </c>
      <c r="G87" s="363">
        <f>IFERROR(VLOOKUP(F87,'G-7 WaterC'' Data'!$C$4:$D$8,2,FALSE),"")</f>
        <v>4</v>
      </c>
      <c r="H87" s="114" t="s">
        <v>329</v>
      </c>
      <c r="I87" s="363">
        <f>IFERROR(INDEX('G-7 WaterC'' Data'!$H$4:$L$8,MATCH(D87,'G-7 WaterC'' Data'!$B$4:$B$8,0),MATCH(H87,'G-7 WaterC'' Data'!$H$3:$L$3,0)),"")</f>
        <v>1</v>
      </c>
      <c r="J87" s="320" t="s">
        <v>1037</v>
      </c>
      <c r="K87" s="398" t="str">
        <f>IF(J87="","",IF(VLOOKUP(J87,'G-7 WaterC'' Data'!$AK$4:$AM$6,2,FALSE)=0,"Spatial Data Missing ⚠",VLOOKUP(J87,'G-7 WaterC'' Data'!$AK$4:$AM$6,2,FALSE)))</f>
        <v>Low Strategic Significance</v>
      </c>
      <c r="L87" s="368">
        <f>IF(J87="","",IF(VLOOKUP(J87,'G-7 WaterC'' Data'!$AK$4:$AM$9,3,FALSE)=0,"Spatial Data Missing ⚠",VLOOKUP(J87,'G-7 WaterC'' Data'!$AK$4:$AM$6,3,FALSE)))</f>
        <v>1</v>
      </c>
      <c r="M87" s="54" t="s">
        <v>1126</v>
      </c>
      <c r="N87" s="363">
        <f>IF(M87="","",IF(VLOOKUP(M87,'G-7 WaterC'' Data'!$AA$4:$AB$7,2,FALSE)=0,"Spatial Data Missing ⚠",VLOOKUP(M87,'G-7 WaterC'' Data'!$AA$4:$AB$7,2,FALSE)))</f>
        <v>1</v>
      </c>
      <c r="O87" s="60" t="s">
        <v>1127</v>
      </c>
      <c r="P87" s="363">
        <f>IF(O87="","",IF(VLOOKUP(O87,'G-7 WaterC'' Data'!$AD$4:$AE$14,2,FALSE)=0,"Spatial Data Missing ⚠",VLOOKUP(O87,'G-7 WaterC'' Data'!$AD$4:$AE$14,2,FALSE)))</f>
        <v>0.75</v>
      </c>
      <c r="Q87" s="369" t="str">
        <f>IF(D87="","",VLOOKUP(D87,'G-7 WaterC'' Data'!$B$2:$G$8,6,FALSE))</f>
        <v>Same habitat required =</v>
      </c>
      <c r="R87" s="376">
        <f>IFERROR(IF(D87="","",IF(AND(Q87='G-1 All Habitats'!$X$3,U87&gt;0),V87+W87,IF(AND(Q87='G-1 All Habitats'!$X$3,T87&gt;0),V87+W87,IF(AND(Q87='G-1 All Habitats'!$X$3,AD87&gt;0),"Any Loss Unacceptable ⚠",IF(AND(Q87='G-1 All Habitats'!$X$3,AE87&gt;0),"Any Loss Unacceptable ⚠", E87*G87*I87*L87*N87*P87 ))))),"Check Data ▲")</f>
        <v>0.50178219204807906</v>
      </c>
      <c r="S87" s="32"/>
      <c r="T87" s="114">
        <v>0</v>
      </c>
      <c r="U87" s="125">
        <v>0.16726073068269301</v>
      </c>
      <c r="V87" s="374">
        <f t="shared" si="7"/>
        <v>0</v>
      </c>
      <c r="W87" s="374">
        <f t="shared" si="8"/>
        <v>0.50178219204807906</v>
      </c>
      <c r="X87" s="374">
        <f t="shared" si="9"/>
        <v>0</v>
      </c>
      <c r="Y87" s="670">
        <f t="shared" si="10"/>
        <v>0</v>
      </c>
      <c r="Z87" s="706"/>
      <c r="AA87" s="704"/>
      <c r="AB87" s="120"/>
      <c r="AC87" s="120" t="s">
        <v>2079</v>
      </c>
      <c r="AD87" s="57" t="str">
        <f>IF(Q87="","",IF(Q87='G-1 All Habitats'!$X$3,E87-T87-U87,"None"))</f>
        <v>None</v>
      </c>
      <c r="AE87" s="58" t="str">
        <f>IF(Q87="","", IF(Q87='G-1 All Habitats'!$X$3, AD87*G87*I87*L87*N87*P87,"None"))</f>
        <v>None</v>
      </c>
      <c r="AH87" s="30">
        <f t="shared" si="11"/>
        <v>0</v>
      </c>
      <c r="AI87" s="124" t="b">
        <f t="shared" si="12"/>
        <v>0</v>
      </c>
      <c r="AJ87" s="124" t="b">
        <f t="shared" si="13"/>
        <v>1</v>
      </c>
      <c r="AL87" s="124">
        <v>78</v>
      </c>
      <c r="AN87" s="124" t="str">
        <f t="array" ref="AN87">IFERROR(INDEX($AL$10:$AL$258, MATCH(0, IF(TRUE=$AI$10:$AI$258, COUNTIF($AN$9:$AN86, $AL$10:$AL$258), ""), 0)),"")</f>
        <v/>
      </c>
      <c r="AO87" s="124">
        <f t="array" ref="AO87">IFERROR(INDEX($AL$10:$AL$258, MATCH(0, IF(TRUE=$AJ$10:$AJ$258, COUNTIF($AO$9:$AO86, $AL$10:$AL$258), ""), 0)),"")</f>
        <v>83</v>
      </c>
      <c r="AQ87" s="30" t="str">
        <f>IFERROR(INDEX('G-7 WaterC'' Data'!$AZ$3:$AZ$7,MATCH(D87,'G-7 WaterC'' Data'!$AY$3:$AY$7,0)),"")</f>
        <v>Rivercond1</v>
      </c>
      <c r="AR87" s="30" t="str">
        <f>IFERROR(INDEX('G-7 WaterC'' Data'!AZ87:AZ91,MATCH(D87,'G-7 WaterC'' Data'!$AY$10:$AY$14,0)),"")</f>
        <v/>
      </c>
    </row>
    <row r="88" spans="3:44" ht="28.5" x14ac:dyDescent="0.2">
      <c r="C88" s="110">
        <v>79</v>
      </c>
      <c r="D88" s="338" t="s">
        <v>198</v>
      </c>
      <c r="E88" s="139">
        <v>0.44636387088014512</v>
      </c>
      <c r="F88" s="362" t="str">
        <f>IF(D88="","",VLOOKUP(D88,'G-7 WaterC'' Data'!$B$2:$G$8,2,FALSE))</f>
        <v>Medium</v>
      </c>
      <c r="G88" s="363">
        <f>IFERROR(VLOOKUP(F88,'G-7 WaterC'' Data'!$C$4:$D$8,2,FALSE),"")</f>
        <v>4</v>
      </c>
      <c r="H88" s="114" t="s">
        <v>329</v>
      </c>
      <c r="I88" s="363">
        <f>IFERROR(INDEX('G-7 WaterC'' Data'!$H$4:$L$8,MATCH(D88,'G-7 WaterC'' Data'!$B$4:$B$8,0),MATCH(H88,'G-7 WaterC'' Data'!$H$3:$L$3,0)),"")</f>
        <v>1</v>
      </c>
      <c r="J88" s="320" t="s">
        <v>1037</v>
      </c>
      <c r="K88" s="398" t="str">
        <f>IF(J88="","",IF(VLOOKUP(J88,'G-7 WaterC'' Data'!$AK$4:$AM$6,2,FALSE)=0,"Spatial Data Missing ⚠",VLOOKUP(J88,'G-7 WaterC'' Data'!$AK$4:$AM$6,2,FALSE)))</f>
        <v>Low Strategic Significance</v>
      </c>
      <c r="L88" s="368">
        <f>IF(J88="","",IF(VLOOKUP(J88,'G-7 WaterC'' Data'!$AK$4:$AM$9,3,FALSE)=0,"Spatial Data Missing ⚠",VLOOKUP(J88,'G-7 WaterC'' Data'!$AK$4:$AM$6,3,FALSE)))</f>
        <v>1</v>
      </c>
      <c r="M88" s="54" t="s">
        <v>1126</v>
      </c>
      <c r="N88" s="363">
        <f>IF(M88="","",IF(VLOOKUP(M88,'G-7 WaterC'' Data'!$AA$4:$AB$7,2,FALSE)=0,"Spatial Data Missing ⚠",VLOOKUP(M88,'G-7 WaterC'' Data'!$AA$4:$AB$7,2,FALSE)))</f>
        <v>1</v>
      </c>
      <c r="O88" s="60" t="s">
        <v>1127</v>
      </c>
      <c r="P88" s="363">
        <f>IF(O88="","",IF(VLOOKUP(O88,'G-7 WaterC'' Data'!$AD$4:$AE$14,2,FALSE)=0,"Spatial Data Missing ⚠",VLOOKUP(O88,'G-7 WaterC'' Data'!$AD$4:$AE$14,2,FALSE)))</f>
        <v>0.75</v>
      </c>
      <c r="Q88" s="369" t="str">
        <f>IF(D88="","",VLOOKUP(D88,'G-7 WaterC'' Data'!$B$2:$G$8,6,FALSE))</f>
        <v>Same habitat required =</v>
      </c>
      <c r="R88" s="376">
        <f>IFERROR(IF(D88="","",IF(AND(Q88='G-1 All Habitats'!$X$3,U88&gt;0),V88+W88,IF(AND(Q88='G-1 All Habitats'!$X$3,T88&gt;0),V88+W88,IF(AND(Q88='G-1 All Habitats'!$X$3,AD88&gt;0),"Any Loss Unacceptable ⚠",IF(AND(Q88='G-1 All Habitats'!$X$3,AE88&gt;0),"Any Loss Unacceptable ⚠", E88*G88*I88*L88*N88*P88 ))))),"Check Data ▲")</f>
        <v>1.3390916126404353</v>
      </c>
      <c r="S88" s="32"/>
      <c r="T88" s="114">
        <v>0</v>
      </c>
      <c r="U88" s="125">
        <v>0.44636387088014512</v>
      </c>
      <c r="V88" s="374">
        <f t="shared" si="7"/>
        <v>0</v>
      </c>
      <c r="W88" s="374">
        <f t="shared" si="8"/>
        <v>1.3390916126404353</v>
      </c>
      <c r="X88" s="374">
        <f t="shared" si="9"/>
        <v>0</v>
      </c>
      <c r="Y88" s="670">
        <f t="shared" si="10"/>
        <v>0</v>
      </c>
      <c r="Z88" s="706"/>
      <c r="AA88" s="704"/>
      <c r="AB88" s="120"/>
      <c r="AC88" s="120" t="s">
        <v>2080</v>
      </c>
      <c r="AD88" s="57" t="str">
        <f>IF(Q88="","",IF(Q88='G-1 All Habitats'!$X$3,E88-T88-U88,"None"))</f>
        <v>None</v>
      </c>
      <c r="AE88" s="58" t="str">
        <f>IF(Q88="","", IF(Q88='G-1 All Habitats'!$X$3, AD88*G88*I88*L88*N88*P88,"None"))</f>
        <v>None</v>
      </c>
      <c r="AH88" s="30">
        <f t="shared" si="11"/>
        <v>0</v>
      </c>
      <c r="AI88" s="124" t="b">
        <f t="shared" si="12"/>
        <v>0</v>
      </c>
      <c r="AJ88" s="124" t="b">
        <f t="shared" si="13"/>
        <v>1</v>
      </c>
      <c r="AL88" s="124">
        <v>79</v>
      </c>
      <c r="AN88" s="124" t="str">
        <f t="array" ref="AN88">IFERROR(INDEX($AL$10:$AL$258, MATCH(0, IF(TRUE=$AI$10:$AI$258, COUNTIF($AN$9:$AN87, $AL$10:$AL$258), ""), 0)),"")</f>
        <v/>
      </c>
      <c r="AO88" s="124">
        <f t="array" ref="AO88">IFERROR(INDEX($AL$10:$AL$258, MATCH(0, IF(TRUE=$AJ$10:$AJ$258, COUNTIF($AO$9:$AO87, $AL$10:$AL$258), ""), 0)),"")</f>
        <v>84</v>
      </c>
      <c r="AQ88" s="30" t="str">
        <f>IFERROR(INDEX('G-7 WaterC'' Data'!$AZ$3:$AZ$7,MATCH(D88,'G-7 WaterC'' Data'!$AY$3:$AY$7,0)),"")</f>
        <v>Rivercond1</v>
      </c>
      <c r="AR88" s="30" t="str">
        <f>IFERROR(INDEX('G-7 WaterC'' Data'!AZ88:AZ92,MATCH(D88,'G-7 WaterC'' Data'!$AY$10:$AY$14,0)),"")</f>
        <v/>
      </c>
    </row>
    <row r="89" spans="3:44" ht="28.5" x14ac:dyDescent="0.2">
      <c r="C89" s="110">
        <v>80</v>
      </c>
      <c r="D89" s="338" t="s">
        <v>198</v>
      </c>
      <c r="E89" s="139">
        <v>0.4102838530129112</v>
      </c>
      <c r="F89" s="362" t="str">
        <f>IF(D89="","",VLOOKUP(D89,'G-7 WaterC'' Data'!$B$2:$G$8,2,FALSE))</f>
        <v>Medium</v>
      </c>
      <c r="G89" s="363">
        <f>IFERROR(VLOOKUP(F89,'G-7 WaterC'' Data'!$C$4:$D$8,2,FALSE),"")</f>
        <v>4</v>
      </c>
      <c r="H89" s="114" t="s">
        <v>329</v>
      </c>
      <c r="I89" s="363">
        <f>IFERROR(INDEX('G-7 WaterC'' Data'!$H$4:$L$8,MATCH(D89,'G-7 WaterC'' Data'!$B$4:$B$8,0),MATCH(H89,'G-7 WaterC'' Data'!$H$3:$L$3,0)),"")</f>
        <v>1</v>
      </c>
      <c r="J89" s="320" t="s">
        <v>1037</v>
      </c>
      <c r="K89" s="398" t="str">
        <f>IF(J89="","",IF(VLOOKUP(J89,'G-7 WaterC'' Data'!$AK$4:$AM$6,2,FALSE)=0,"Spatial Data Missing ⚠",VLOOKUP(J89,'G-7 WaterC'' Data'!$AK$4:$AM$6,2,FALSE)))</f>
        <v>Low Strategic Significance</v>
      </c>
      <c r="L89" s="368">
        <f>IF(J89="","",IF(VLOOKUP(J89,'G-7 WaterC'' Data'!$AK$4:$AM$9,3,FALSE)=0,"Spatial Data Missing ⚠",VLOOKUP(J89,'G-7 WaterC'' Data'!$AK$4:$AM$6,3,FALSE)))</f>
        <v>1</v>
      </c>
      <c r="M89" s="54" t="s">
        <v>1126</v>
      </c>
      <c r="N89" s="363">
        <f>IF(M89="","",IF(VLOOKUP(M89,'G-7 WaterC'' Data'!$AA$4:$AB$7,2,FALSE)=0,"Spatial Data Missing ⚠",VLOOKUP(M89,'G-7 WaterC'' Data'!$AA$4:$AB$7,2,FALSE)))</f>
        <v>1</v>
      </c>
      <c r="O89" s="60" t="s">
        <v>1127</v>
      </c>
      <c r="P89" s="363">
        <f>IF(O89="","",IF(VLOOKUP(O89,'G-7 WaterC'' Data'!$AD$4:$AE$14,2,FALSE)=0,"Spatial Data Missing ⚠",VLOOKUP(O89,'G-7 WaterC'' Data'!$AD$4:$AE$14,2,FALSE)))</f>
        <v>0.75</v>
      </c>
      <c r="Q89" s="369" t="str">
        <f>IF(D89="","",VLOOKUP(D89,'G-7 WaterC'' Data'!$B$2:$G$8,6,FALSE))</f>
        <v>Same habitat required =</v>
      </c>
      <c r="R89" s="376">
        <f>IFERROR(IF(D89="","",IF(AND(Q89='G-1 All Habitats'!$X$3,U89&gt;0),V89+W89,IF(AND(Q89='G-1 All Habitats'!$X$3,T89&gt;0),V89+W89,IF(AND(Q89='G-1 All Habitats'!$X$3,AD89&gt;0),"Any Loss Unacceptable ⚠",IF(AND(Q89='G-1 All Habitats'!$X$3,AE89&gt;0),"Any Loss Unacceptable ⚠", E89*G89*I89*L89*N89*P89 ))))),"Check Data ▲")</f>
        <v>1.2308515590387337</v>
      </c>
      <c r="S89" s="32"/>
      <c r="T89" s="114">
        <v>0</v>
      </c>
      <c r="U89" s="125">
        <v>0.4102838530129112</v>
      </c>
      <c r="V89" s="374">
        <f t="shared" si="7"/>
        <v>0</v>
      </c>
      <c r="W89" s="374">
        <f t="shared" si="8"/>
        <v>1.2308515590387337</v>
      </c>
      <c r="X89" s="374">
        <f t="shared" si="9"/>
        <v>0</v>
      </c>
      <c r="Y89" s="670">
        <f t="shared" si="10"/>
        <v>0</v>
      </c>
      <c r="Z89" s="706"/>
      <c r="AA89" s="704"/>
      <c r="AB89" s="120"/>
      <c r="AC89" s="120" t="s">
        <v>2081</v>
      </c>
      <c r="AD89" s="57" t="str">
        <f>IF(Q89="","",IF(Q89='G-1 All Habitats'!$X$3,E89-T89-U89,"None"))</f>
        <v>None</v>
      </c>
      <c r="AE89" s="58" t="str">
        <f>IF(Q89="","", IF(Q89='G-1 All Habitats'!$X$3, AD89*G89*I89*L89*N89*P89,"None"))</f>
        <v>None</v>
      </c>
      <c r="AH89" s="30">
        <f t="shared" si="11"/>
        <v>0</v>
      </c>
      <c r="AI89" s="124" t="b">
        <f t="shared" si="12"/>
        <v>0</v>
      </c>
      <c r="AJ89" s="124" t="b">
        <f t="shared" si="13"/>
        <v>1</v>
      </c>
      <c r="AL89" s="124">
        <v>80</v>
      </c>
      <c r="AN89" s="124" t="str">
        <f t="array" ref="AN89">IFERROR(INDEX($AL$10:$AL$258, MATCH(0, IF(TRUE=$AI$10:$AI$258, COUNTIF($AN$9:$AN88, $AL$10:$AL$258), ""), 0)),"")</f>
        <v/>
      </c>
      <c r="AO89" s="124">
        <f t="array" ref="AO89">IFERROR(INDEX($AL$10:$AL$258, MATCH(0, IF(TRUE=$AJ$10:$AJ$258, COUNTIF($AO$9:$AO88, $AL$10:$AL$258), ""), 0)),"")</f>
        <v>85</v>
      </c>
      <c r="AQ89" s="30" t="str">
        <f>IFERROR(INDEX('G-7 WaterC'' Data'!$AZ$3:$AZ$7,MATCH(D89,'G-7 WaterC'' Data'!$AY$3:$AY$7,0)),"")</f>
        <v>Rivercond1</v>
      </c>
      <c r="AR89" s="30" t="str">
        <f>IFERROR(INDEX('G-7 WaterC'' Data'!AZ89:AZ93,MATCH(D89,'G-7 WaterC'' Data'!$AY$10:$AY$14,0)),"")</f>
        <v/>
      </c>
    </row>
    <row r="90" spans="3:44" ht="28.5" x14ac:dyDescent="0.2">
      <c r="C90" s="110">
        <v>81</v>
      </c>
      <c r="D90" s="338" t="s">
        <v>198</v>
      </c>
      <c r="E90" s="139">
        <v>0.60467380376031954</v>
      </c>
      <c r="F90" s="362" t="str">
        <f>IF(D90="","",VLOOKUP(D90,'G-7 WaterC'' Data'!$B$2:$G$8,2,FALSE))</f>
        <v>Medium</v>
      </c>
      <c r="G90" s="363">
        <f>IFERROR(VLOOKUP(F90,'G-7 WaterC'' Data'!$C$4:$D$8,2,FALSE),"")</f>
        <v>4</v>
      </c>
      <c r="H90" s="114" t="s">
        <v>329</v>
      </c>
      <c r="I90" s="363">
        <f>IFERROR(INDEX('G-7 WaterC'' Data'!$H$4:$L$8,MATCH(D90,'G-7 WaterC'' Data'!$B$4:$B$8,0),MATCH(H90,'G-7 WaterC'' Data'!$H$3:$L$3,0)),"")</f>
        <v>1</v>
      </c>
      <c r="J90" s="320" t="s">
        <v>1037</v>
      </c>
      <c r="K90" s="398" t="str">
        <f>IF(J90="","",IF(VLOOKUP(J90,'G-7 WaterC'' Data'!$AK$4:$AM$6,2,FALSE)=0,"Spatial Data Missing ⚠",VLOOKUP(J90,'G-7 WaterC'' Data'!$AK$4:$AM$6,2,FALSE)))</f>
        <v>Low Strategic Significance</v>
      </c>
      <c r="L90" s="368">
        <f>IF(J90="","",IF(VLOOKUP(J90,'G-7 WaterC'' Data'!$AK$4:$AM$9,3,FALSE)=0,"Spatial Data Missing ⚠",VLOOKUP(J90,'G-7 WaterC'' Data'!$AK$4:$AM$6,3,FALSE)))</f>
        <v>1</v>
      </c>
      <c r="M90" s="54" t="s">
        <v>1126</v>
      </c>
      <c r="N90" s="363">
        <f>IF(M90="","",IF(VLOOKUP(M90,'G-7 WaterC'' Data'!$AA$4:$AB$7,2,FALSE)=0,"Spatial Data Missing ⚠",VLOOKUP(M90,'G-7 WaterC'' Data'!$AA$4:$AB$7,2,FALSE)))</f>
        <v>1</v>
      </c>
      <c r="O90" s="60" t="s">
        <v>1127</v>
      </c>
      <c r="P90" s="363">
        <f>IF(O90="","",IF(VLOOKUP(O90,'G-7 WaterC'' Data'!$AD$4:$AE$14,2,FALSE)=0,"Spatial Data Missing ⚠",VLOOKUP(O90,'G-7 WaterC'' Data'!$AD$4:$AE$14,2,FALSE)))</f>
        <v>0.75</v>
      </c>
      <c r="Q90" s="369" t="str">
        <f>IF(D90="","",VLOOKUP(D90,'G-7 WaterC'' Data'!$B$2:$G$8,6,FALSE))</f>
        <v>Same habitat required =</v>
      </c>
      <c r="R90" s="376">
        <f>IFERROR(IF(D90="","",IF(AND(Q90='G-1 All Habitats'!$X$3,U90&gt;0),V90+W90,IF(AND(Q90='G-1 All Habitats'!$X$3,T90&gt;0),V90+W90,IF(AND(Q90='G-1 All Habitats'!$X$3,AD90&gt;0),"Any Loss Unacceptable ⚠",IF(AND(Q90='G-1 All Habitats'!$X$3,AE90&gt;0),"Any Loss Unacceptable ⚠", E90*G90*I90*L90*N90*P90 ))))),"Check Data ▲")</f>
        <v>1.8140214112809585</v>
      </c>
      <c r="S90" s="32"/>
      <c r="T90" s="114">
        <v>0</v>
      </c>
      <c r="U90" s="125">
        <v>0.60467380376031954</v>
      </c>
      <c r="V90" s="374">
        <f t="shared" si="7"/>
        <v>0</v>
      </c>
      <c r="W90" s="374">
        <f t="shared" si="8"/>
        <v>1.8140214112809585</v>
      </c>
      <c r="X90" s="374">
        <f t="shared" si="9"/>
        <v>0</v>
      </c>
      <c r="Y90" s="670">
        <f t="shared" si="10"/>
        <v>0</v>
      </c>
      <c r="Z90" s="706"/>
      <c r="AA90" s="704"/>
      <c r="AB90" s="120"/>
      <c r="AC90" s="120" t="s">
        <v>2082</v>
      </c>
      <c r="AD90" s="57" t="str">
        <f>IF(Q90="","",IF(Q90='G-1 All Habitats'!$X$3,E90-T90-U90,"None"))</f>
        <v>None</v>
      </c>
      <c r="AE90" s="58" t="str">
        <f>IF(Q90="","", IF(Q90='G-1 All Habitats'!$X$3, AD90*G90*I90*L90*N90*P90,"None"))</f>
        <v>None</v>
      </c>
      <c r="AH90" s="30">
        <f t="shared" si="11"/>
        <v>0</v>
      </c>
      <c r="AI90" s="124" t="b">
        <f t="shared" si="12"/>
        <v>0</v>
      </c>
      <c r="AJ90" s="124" t="b">
        <f t="shared" si="13"/>
        <v>1</v>
      </c>
      <c r="AL90" s="124">
        <v>81</v>
      </c>
      <c r="AN90" s="124" t="str">
        <f t="array" ref="AN90">IFERROR(INDEX($AL$10:$AL$258, MATCH(0, IF(TRUE=$AI$10:$AI$258, COUNTIF($AN$9:$AN89, $AL$10:$AL$258), ""), 0)),"")</f>
        <v/>
      </c>
      <c r="AO90" s="124">
        <f t="array" ref="AO90">IFERROR(INDEX($AL$10:$AL$258, MATCH(0, IF(TRUE=$AJ$10:$AJ$258, COUNTIF($AO$9:$AO89, $AL$10:$AL$258), ""), 0)),"")</f>
        <v>87</v>
      </c>
      <c r="AQ90" s="30" t="str">
        <f>IFERROR(INDEX('G-7 WaterC'' Data'!$AZ$3:$AZ$7,MATCH(D90,'G-7 WaterC'' Data'!$AY$3:$AY$7,0)),"")</f>
        <v>Rivercond1</v>
      </c>
      <c r="AR90" s="30" t="str">
        <f>IFERROR(INDEX('G-7 WaterC'' Data'!AZ90:AZ94,MATCH(D90,'G-7 WaterC'' Data'!$AY$10:$AY$14,0)),"")</f>
        <v/>
      </c>
    </row>
    <row r="91" spans="3:44" ht="28.5" x14ac:dyDescent="0.2">
      <c r="C91" s="110">
        <v>82</v>
      </c>
      <c r="D91" s="338" t="s">
        <v>198</v>
      </c>
      <c r="E91" s="139">
        <v>0.36960622674870885</v>
      </c>
      <c r="F91" s="362" t="str">
        <f>IF(D91="","",VLOOKUP(D91,'G-7 WaterC'' Data'!$B$2:$G$8,2,FALSE))</f>
        <v>Medium</v>
      </c>
      <c r="G91" s="363">
        <f>IFERROR(VLOOKUP(F91,'G-7 WaterC'' Data'!$C$4:$D$8,2,FALSE),"")</f>
        <v>4</v>
      </c>
      <c r="H91" s="114" t="s">
        <v>329</v>
      </c>
      <c r="I91" s="363">
        <f>IFERROR(INDEX('G-7 WaterC'' Data'!$H$4:$L$8,MATCH(D91,'G-7 WaterC'' Data'!$B$4:$B$8,0),MATCH(H91,'G-7 WaterC'' Data'!$H$3:$L$3,0)),"")</f>
        <v>1</v>
      </c>
      <c r="J91" s="320" t="s">
        <v>1037</v>
      </c>
      <c r="K91" s="398" t="str">
        <f>IF(J91="","",IF(VLOOKUP(J91,'G-7 WaterC'' Data'!$AK$4:$AM$6,2,FALSE)=0,"Spatial Data Missing ⚠",VLOOKUP(J91,'G-7 WaterC'' Data'!$AK$4:$AM$6,2,FALSE)))</f>
        <v>Low Strategic Significance</v>
      </c>
      <c r="L91" s="368">
        <f>IF(J91="","",IF(VLOOKUP(J91,'G-7 WaterC'' Data'!$AK$4:$AM$9,3,FALSE)=0,"Spatial Data Missing ⚠",VLOOKUP(J91,'G-7 WaterC'' Data'!$AK$4:$AM$6,3,FALSE)))</f>
        <v>1</v>
      </c>
      <c r="M91" s="54" t="s">
        <v>1126</v>
      </c>
      <c r="N91" s="363">
        <f>IF(M91="","",IF(VLOOKUP(M91,'G-7 WaterC'' Data'!$AA$4:$AB$7,2,FALSE)=0,"Spatial Data Missing ⚠",VLOOKUP(M91,'G-7 WaterC'' Data'!$AA$4:$AB$7,2,FALSE)))</f>
        <v>1</v>
      </c>
      <c r="O91" s="60" t="s">
        <v>1127</v>
      </c>
      <c r="P91" s="363">
        <f>IF(O91="","",IF(VLOOKUP(O91,'G-7 WaterC'' Data'!$AD$4:$AE$14,2,FALSE)=0,"Spatial Data Missing ⚠",VLOOKUP(O91,'G-7 WaterC'' Data'!$AD$4:$AE$14,2,FALSE)))</f>
        <v>0.75</v>
      </c>
      <c r="Q91" s="369" t="str">
        <f>IF(D91="","",VLOOKUP(D91,'G-7 WaterC'' Data'!$B$2:$G$8,6,FALSE))</f>
        <v>Same habitat required =</v>
      </c>
      <c r="R91" s="376">
        <f>IFERROR(IF(D91="","",IF(AND(Q91='G-1 All Habitats'!$X$3,U91&gt;0),V91+W91,IF(AND(Q91='G-1 All Habitats'!$X$3,T91&gt;0),V91+W91,IF(AND(Q91='G-1 All Habitats'!$X$3,AD91&gt;0),"Any Loss Unacceptable ⚠",IF(AND(Q91='G-1 All Habitats'!$X$3,AE91&gt;0),"Any Loss Unacceptable ⚠", E91*G91*I91*L91*N91*P91 ))))),"Check Data ▲")</f>
        <v>1.1088186802461266</v>
      </c>
      <c r="S91" s="32"/>
      <c r="T91" s="114">
        <v>0</v>
      </c>
      <c r="U91" s="125">
        <v>0.36960622674870885</v>
      </c>
      <c r="V91" s="374">
        <f t="shared" si="7"/>
        <v>0</v>
      </c>
      <c r="W91" s="374">
        <f t="shared" si="8"/>
        <v>1.1088186802461266</v>
      </c>
      <c r="X91" s="374">
        <f t="shared" si="9"/>
        <v>0</v>
      </c>
      <c r="Y91" s="670">
        <f t="shared" si="10"/>
        <v>0</v>
      </c>
      <c r="Z91" s="706"/>
      <c r="AA91" s="704"/>
      <c r="AB91" s="120"/>
      <c r="AC91" s="120" t="s">
        <v>2083</v>
      </c>
      <c r="AD91" s="57" t="str">
        <f>IF(Q91="","",IF(Q91='G-1 All Habitats'!$X$3,E91-T91-U91,"None"))</f>
        <v>None</v>
      </c>
      <c r="AE91" s="58" t="str">
        <f>IF(Q91="","", IF(Q91='G-1 All Habitats'!$X$3, AD91*G91*I91*L91*N91*P91,"None"))</f>
        <v>None</v>
      </c>
      <c r="AH91" s="30">
        <f t="shared" si="11"/>
        <v>0</v>
      </c>
      <c r="AI91" s="124" t="b">
        <f t="shared" si="12"/>
        <v>0</v>
      </c>
      <c r="AJ91" s="124" t="b">
        <f t="shared" si="13"/>
        <v>1</v>
      </c>
      <c r="AL91" s="124">
        <v>82</v>
      </c>
      <c r="AN91" s="124" t="str">
        <f t="array" ref="AN91">IFERROR(INDEX($AL$10:$AL$258, MATCH(0, IF(TRUE=$AI$10:$AI$258, COUNTIF($AN$9:$AN90, $AL$10:$AL$258), ""), 0)),"")</f>
        <v/>
      </c>
      <c r="AO91" s="124">
        <f t="array" ref="AO91">IFERROR(INDEX($AL$10:$AL$258, MATCH(0, IF(TRUE=$AJ$10:$AJ$258, COUNTIF($AO$9:$AO90, $AL$10:$AL$258), ""), 0)),"")</f>
        <v>88</v>
      </c>
      <c r="AQ91" s="30" t="str">
        <f>IFERROR(INDEX('G-7 WaterC'' Data'!$AZ$3:$AZ$7,MATCH(D91,'G-7 WaterC'' Data'!$AY$3:$AY$7,0)),"")</f>
        <v>Rivercond1</v>
      </c>
      <c r="AR91" s="30" t="str">
        <f>IFERROR(INDEX('G-7 WaterC'' Data'!AZ91:AZ95,MATCH(D91,'G-7 WaterC'' Data'!$AY$10:$AY$14,0)),"")</f>
        <v/>
      </c>
    </row>
    <row r="92" spans="3:44" ht="28.5" x14ac:dyDescent="0.2">
      <c r="C92" s="110">
        <v>83</v>
      </c>
      <c r="D92" s="338" t="s">
        <v>198</v>
      </c>
      <c r="E92" s="139">
        <v>0.29301549531913246</v>
      </c>
      <c r="F92" s="362" t="str">
        <f>IF(D92="","",VLOOKUP(D92,'G-7 WaterC'' Data'!$B$2:$G$8,2,FALSE))</f>
        <v>Medium</v>
      </c>
      <c r="G92" s="363">
        <f>IFERROR(VLOOKUP(F92,'G-7 WaterC'' Data'!$C$4:$D$8,2,FALSE),"")</f>
        <v>4</v>
      </c>
      <c r="H92" s="114" t="s">
        <v>329</v>
      </c>
      <c r="I92" s="363">
        <f>IFERROR(INDEX('G-7 WaterC'' Data'!$H$4:$L$8,MATCH(D92,'G-7 WaterC'' Data'!$B$4:$B$8,0),MATCH(H92,'G-7 WaterC'' Data'!$H$3:$L$3,0)),"")</f>
        <v>1</v>
      </c>
      <c r="J92" s="320" t="s">
        <v>1029</v>
      </c>
      <c r="K92" s="398" t="str">
        <f>IF(J92="","",IF(VLOOKUP(J92,'G-7 WaterC'' Data'!$AK$4:$AM$6,2,FALSE)=0,"Spatial Data Missing ⚠",VLOOKUP(J92,'G-7 WaterC'' Data'!$AK$4:$AM$6,2,FALSE)))</f>
        <v xml:space="preserve">High strategic significance </v>
      </c>
      <c r="L92" s="368">
        <f>IF(J92="","",IF(VLOOKUP(J92,'G-7 WaterC'' Data'!$AK$4:$AM$9,3,FALSE)=0,"Spatial Data Missing ⚠",VLOOKUP(J92,'G-7 WaterC'' Data'!$AK$4:$AM$6,3,FALSE)))</f>
        <v>1.1499999999999999</v>
      </c>
      <c r="M92" s="54" t="s">
        <v>1126</v>
      </c>
      <c r="N92" s="363">
        <f>IF(M92="","",IF(VLOOKUP(M92,'G-7 WaterC'' Data'!$AA$4:$AB$7,2,FALSE)=0,"Spatial Data Missing ⚠",VLOOKUP(M92,'G-7 WaterC'' Data'!$AA$4:$AB$7,2,FALSE)))</f>
        <v>1</v>
      </c>
      <c r="O92" s="60" t="s">
        <v>1127</v>
      </c>
      <c r="P92" s="363">
        <f>IF(O92="","",IF(VLOOKUP(O92,'G-7 WaterC'' Data'!$AD$4:$AE$14,2,FALSE)=0,"Spatial Data Missing ⚠",VLOOKUP(O92,'G-7 WaterC'' Data'!$AD$4:$AE$14,2,FALSE)))</f>
        <v>0.75</v>
      </c>
      <c r="Q92" s="369" t="str">
        <f>IF(D92="","",VLOOKUP(D92,'G-7 WaterC'' Data'!$B$2:$G$8,6,FALSE))</f>
        <v>Same habitat required =</v>
      </c>
      <c r="R92" s="376">
        <f>IFERROR(IF(D92="","",IF(AND(Q92='G-1 All Habitats'!$X$3,U92&gt;0),V92+W92,IF(AND(Q92='G-1 All Habitats'!$X$3,T92&gt;0),V92+W92,IF(AND(Q92='G-1 All Habitats'!$X$3,AD92&gt;0),"Any Loss Unacceptable ⚠",IF(AND(Q92='G-1 All Habitats'!$X$3,AE92&gt;0),"Any Loss Unacceptable ⚠", E92*G92*I92*L92*N92*P92 ))))),"Check Data ▲")</f>
        <v>1.0109034588510069</v>
      </c>
      <c r="S92" s="32"/>
      <c r="T92" s="114">
        <v>0</v>
      </c>
      <c r="U92" s="125">
        <v>0.29301549531913246</v>
      </c>
      <c r="V92" s="374">
        <f t="shared" si="7"/>
        <v>0</v>
      </c>
      <c r="W92" s="374">
        <f t="shared" si="8"/>
        <v>1.0109034588510069</v>
      </c>
      <c r="X92" s="374">
        <f t="shared" si="9"/>
        <v>0</v>
      </c>
      <c r="Y92" s="670">
        <f t="shared" si="10"/>
        <v>0</v>
      </c>
      <c r="Z92" s="706"/>
      <c r="AA92" s="704"/>
      <c r="AB92" s="120"/>
      <c r="AC92" s="120" t="s">
        <v>2084</v>
      </c>
      <c r="AD92" s="57" t="str">
        <f>IF(Q92="","",IF(Q92='G-1 All Habitats'!$X$3,E92-T92-U92,"None"))</f>
        <v>None</v>
      </c>
      <c r="AE92" s="58" t="str">
        <f>IF(Q92="","", IF(Q92='G-1 All Habitats'!$X$3, AD92*G92*I92*L92*N92*P92,"None"))</f>
        <v>None</v>
      </c>
      <c r="AH92" s="30">
        <f t="shared" si="11"/>
        <v>0</v>
      </c>
      <c r="AI92" s="124" t="b">
        <f t="shared" si="12"/>
        <v>0</v>
      </c>
      <c r="AJ92" s="124" t="b">
        <f t="shared" si="13"/>
        <v>1</v>
      </c>
      <c r="AL92" s="124">
        <v>83</v>
      </c>
      <c r="AN92" s="124" t="str">
        <f t="array" ref="AN92">IFERROR(INDEX($AL$10:$AL$258, MATCH(0, IF(TRUE=$AI$10:$AI$258, COUNTIF($AN$9:$AN91, $AL$10:$AL$258), ""), 0)),"")</f>
        <v/>
      </c>
      <c r="AO92" s="124">
        <f t="array" ref="AO92">IFERROR(INDEX($AL$10:$AL$258, MATCH(0, IF(TRUE=$AJ$10:$AJ$258, COUNTIF($AO$9:$AO91, $AL$10:$AL$258), ""), 0)),"")</f>
        <v>89</v>
      </c>
      <c r="AQ92" s="30" t="str">
        <f>IFERROR(INDEX('G-7 WaterC'' Data'!$AZ$3:$AZ$7,MATCH(D92,'G-7 WaterC'' Data'!$AY$3:$AY$7,0)),"")</f>
        <v>Rivercond1</v>
      </c>
      <c r="AR92" s="30" t="str">
        <f>IFERROR(INDEX('G-7 WaterC'' Data'!AZ92:AZ96,MATCH(D92,'G-7 WaterC'' Data'!$AY$10:$AY$14,0)),"")</f>
        <v/>
      </c>
    </row>
    <row r="93" spans="3:44" ht="28.5" x14ac:dyDescent="0.2">
      <c r="C93" s="110">
        <v>84</v>
      </c>
      <c r="D93" s="338" t="s">
        <v>198</v>
      </c>
      <c r="E93" s="139">
        <v>0.34643710476353112</v>
      </c>
      <c r="F93" s="362" t="str">
        <f>IF(D93="","",VLOOKUP(D93,'G-7 WaterC'' Data'!$B$2:$G$8,2,FALSE))</f>
        <v>Medium</v>
      </c>
      <c r="G93" s="363">
        <f>IFERROR(VLOOKUP(F93,'G-7 WaterC'' Data'!$C$4:$D$8,2,FALSE),"")</f>
        <v>4</v>
      </c>
      <c r="H93" s="114" t="s">
        <v>67</v>
      </c>
      <c r="I93" s="363">
        <f>IFERROR(INDEX('G-7 WaterC'' Data'!$H$4:$L$8,MATCH(D93,'G-7 WaterC'' Data'!$B$4:$B$8,0),MATCH(H93,'G-7 WaterC'' Data'!$H$3:$L$3,0)),"")</f>
        <v>2</v>
      </c>
      <c r="J93" s="320" t="s">
        <v>1029</v>
      </c>
      <c r="K93" s="398" t="str">
        <f>IF(J93="","",IF(VLOOKUP(J93,'G-7 WaterC'' Data'!$AK$4:$AM$6,2,FALSE)=0,"Spatial Data Missing ⚠",VLOOKUP(J93,'G-7 WaterC'' Data'!$AK$4:$AM$6,2,FALSE)))</f>
        <v xml:space="preserve">High strategic significance </v>
      </c>
      <c r="L93" s="368">
        <f>IF(J93="","",IF(VLOOKUP(J93,'G-7 WaterC'' Data'!$AK$4:$AM$9,3,FALSE)=0,"Spatial Data Missing ⚠",VLOOKUP(J93,'G-7 WaterC'' Data'!$AK$4:$AM$6,3,FALSE)))</f>
        <v>1.1499999999999999</v>
      </c>
      <c r="M93" s="54" t="s">
        <v>1126</v>
      </c>
      <c r="N93" s="363">
        <f>IF(M93="","",IF(VLOOKUP(M93,'G-7 WaterC'' Data'!$AA$4:$AB$7,2,FALSE)=0,"Spatial Data Missing ⚠",VLOOKUP(M93,'G-7 WaterC'' Data'!$AA$4:$AB$7,2,FALSE)))</f>
        <v>1</v>
      </c>
      <c r="O93" s="60" t="s">
        <v>1127</v>
      </c>
      <c r="P93" s="363">
        <f>IF(O93="","",IF(VLOOKUP(O93,'G-7 WaterC'' Data'!$AD$4:$AE$14,2,FALSE)=0,"Spatial Data Missing ⚠",VLOOKUP(O93,'G-7 WaterC'' Data'!$AD$4:$AE$14,2,FALSE)))</f>
        <v>0.75</v>
      </c>
      <c r="Q93" s="369" t="str">
        <f>IF(D93="","",VLOOKUP(D93,'G-7 WaterC'' Data'!$B$2:$G$8,6,FALSE))</f>
        <v>Same habitat required =</v>
      </c>
      <c r="R93" s="376">
        <f>IFERROR(IF(D93="","",IF(AND(Q93='G-1 All Habitats'!$X$3,U93&gt;0),V93+W93,IF(AND(Q93='G-1 All Habitats'!$X$3,T93&gt;0),V93+W93,IF(AND(Q93='G-1 All Habitats'!$X$3,AD93&gt;0),"Any Loss Unacceptable ⚠",IF(AND(Q93='G-1 All Habitats'!$X$3,AE93&gt;0),"Any Loss Unacceptable ⚠", E93*G93*I93*L93*N93*P93 ))))),"Check Data ▲")</f>
        <v>2.3904160228683646</v>
      </c>
      <c r="S93" s="32"/>
      <c r="T93" s="114">
        <v>0</v>
      </c>
      <c r="U93" s="125">
        <v>0.34643710476353112</v>
      </c>
      <c r="V93" s="374">
        <f t="shared" si="7"/>
        <v>0</v>
      </c>
      <c r="W93" s="374">
        <f t="shared" si="8"/>
        <v>2.3904160228683646</v>
      </c>
      <c r="X93" s="374">
        <f t="shared" si="9"/>
        <v>0</v>
      </c>
      <c r="Y93" s="670">
        <f t="shared" si="10"/>
        <v>0</v>
      </c>
      <c r="Z93" s="706"/>
      <c r="AA93" s="704"/>
      <c r="AB93" s="120"/>
      <c r="AC93" s="120" t="s">
        <v>2085</v>
      </c>
      <c r="AD93" s="57" t="str">
        <f>IF(Q93="","",IF(Q93='G-1 All Habitats'!$X$3,E93-T93-U93,"None"))</f>
        <v>None</v>
      </c>
      <c r="AE93" s="58" t="str">
        <f>IF(Q93="","", IF(Q93='G-1 All Habitats'!$X$3, AD93*G93*I93*L93*N93*P93,"None"))</f>
        <v>None</v>
      </c>
      <c r="AH93" s="30">
        <f t="shared" si="11"/>
        <v>0</v>
      </c>
      <c r="AI93" s="124" t="b">
        <f t="shared" si="12"/>
        <v>0</v>
      </c>
      <c r="AJ93" s="124" t="b">
        <f t="shared" si="13"/>
        <v>1</v>
      </c>
      <c r="AL93" s="124">
        <v>84</v>
      </c>
      <c r="AN93" s="124" t="str">
        <f t="array" ref="AN93">IFERROR(INDEX($AL$10:$AL$258, MATCH(0, IF(TRUE=$AI$10:$AI$258, COUNTIF($AN$9:$AN92, $AL$10:$AL$258), ""), 0)),"")</f>
        <v/>
      </c>
      <c r="AO93" s="124">
        <f t="array" ref="AO93">IFERROR(INDEX($AL$10:$AL$258, MATCH(0, IF(TRUE=$AJ$10:$AJ$258, COUNTIF($AO$9:$AO92, $AL$10:$AL$258), ""), 0)),"")</f>
        <v>90</v>
      </c>
      <c r="AQ93" s="30" t="str">
        <f>IFERROR(INDEX('G-7 WaterC'' Data'!$AZ$3:$AZ$7,MATCH(D93,'G-7 WaterC'' Data'!$AY$3:$AY$7,0)),"")</f>
        <v>Rivercond1</v>
      </c>
      <c r="AR93" s="30" t="str">
        <f>IFERROR(INDEX('G-7 WaterC'' Data'!AZ93:AZ97,MATCH(D93,'G-7 WaterC'' Data'!$AY$10:$AY$14,0)),"")</f>
        <v/>
      </c>
    </row>
    <row r="94" spans="3:44" ht="28.5" x14ac:dyDescent="0.2">
      <c r="C94" s="110">
        <v>85</v>
      </c>
      <c r="D94" s="338" t="s">
        <v>198</v>
      </c>
      <c r="E94" s="139">
        <v>0.42575503830153921</v>
      </c>
      <c r="F94" s="362" t="str">
        <f>IF(D94="","",VLOOKUP(D94,'G-7 WaterC'' Data'!$B$2:$G$8,2,FALSE))</f>
        <v>Medium</v>
      </c>
      <c r="G94" s="363">
        <f>IFERROR(VLOOKUP(F94,'G-7 WaterC'' Data'!$C$4:$D$8,2,FALSE),"")</f>
        <v>4</v>
      </c>
      <c r="H94" s="114" t="s">
        <v>329</v>
      </c>
      <c r="I94" s="363">
        <f>IFERROR(INDEX('G-7 WaterC'' Data'!$H$4:$L$8,MATCH(D94,'G-7 WaterC'' Data'!$B$4:$B$8,0),MATCH(H94,'G-7 WaterC'' Data'!$H$3:$L$3,0)),"")</f>
        <v>1</v>
      </c>
      <c r="J94" s="320" t="s">
        <v>1037</v>
      </c>
      <c r="K94" s="398" t="str">
        <f>IF(J94="","",IF(VLOOKUP(J94,'G-7 WaterC'' Data'!$AK$4:$AM$6,2,FALSE)=0,"Spatial Data Missing ⚠",VLOOKUP(J94,'G-7 WaterC'' Data'!$AK$4:$AM$6,2,FALSE)))</f>
        <v>Low Strategic Significance</v>
      </c>
      <c r="L94" s="368">
        <f>IF(J94="","",IF(VLOOKUP(J94,'G-7 WaterC'' Data'!$AK$4:$AM$9,3,FALSE)=0,"Spatial Data Missing ⚠",VLOOKUP(J94,'G-7 WaterC'' Data'!$AK$4:$AM$6,3,FALSE)))</f>
        <v>1</v>
      </c>
      <c r="M94" s="54" t="s">
        <v>1126</v>
      </c>
      <c r="N94" s="363">
        <f>IF(M94="","",IF(VLOOKUP(M94,'G-7 WaterC'' Data'!$AA$4:$AB$7,2,FALSE)=0,"Spatial Data Missing ⚠",VLOOKUP(M94,'G-7 WaterC'' Data'!$AA$4:$AB$7,2,FALSE)))</f>
        <v>1</v>
      </c>
      <c r="O94" s="60" t="s">
        <v>1127</v>
      </c>
      <c r="P94" s="363">
        <f>IF(O94="","",IF(VLOOKUP(O94,'G-7 WaterC'' Data'!$AD$4:$AE$14,2,FALSE)=0,"Spatial Data Missing ⚠",VLOOKUP(O94,'G-7 WaterC'' Data'!$AD$4:$AE$14,2,FALSE)))</f>
        <v>0.75</v>
      </c>
      <c r="Q94" s="369" t="str">
        <f>IF(D94="","",VLOOKUP(D94,'G-7 WaterC'' Data'!$B$2:$G$8,6,FALSE))</f>
        <v>Same habitat required =</v>
      </c>
      <c r="R94" s="376">
        <f>IFERROR(IF(D94="","",IF(AND(Q94='G-1 All Habitats'!$X$3,U94&gt;0),V94+W94,IF(AND(Q94='G-1 All Habitats'!$X$3,T94&gt;0),V94+W94,IF(AND(Q94='G-1 All Habitats'!$X$3,AD94&gt;0),"Any Loss Unacceptable ⚠",IF(AND(Q94='G-1 All Habitats'!$X$3,AE94&gt;0),"Any Loss Unacceptable ⚠", E94*G94*I94*L94*N94*P94 ))))),"Check Data ▲")</f>
        <v>1.2772651149046177</v>
      </c>
      <c r="S94" s="32"/>
      <c r="T94" s="114">
        <v>0</v>
      </c>
      <c r="U94" s="125">
        <v>0.42575503830153921</v>
      </c>
      <c r="V94" s="374">
        <f t="shared" si="7"/>
        <v>0</v>
      </c>
      <c r="W94" s="374">
        <f t="shared" si="8"/>
        <v>1.2772651149046177</v>
      </c>
      <c r="X94" s="374">
        <f t="shared" si="9"/>
        <v>0</v>
      </c>
      <c r="Y94" s="670">
        <f t="shared" si="10"/>
        <v>0</v>
      </c>
      <c r="Z94" s="706"/>
      <c r="AA94" s="704"/>
      <c r="AB94" s="120"/>
      <c r="AC94" s="120" t="s">
        <v>2086</v>
      </c>
      <c r="AD94" s="57" t="str">
        <f>IF(Q94="","",IF(Q94='G-1 All Habitats'!$X$3,E94-T94-U94,"None"))</f>
        <v>None</v>
      </c>
      <c r="AE94" s="58" t="str">
        <f>IF(Q94="","", IF(Q94='G-1 All Habitats'!$X$3, AD94*G94*I94*L94*N94*P94,"None"))</f>
        <v>None</v>
      </c>
      <c r="AH94" s="30">
        <f t="shared" si="11"/>
        <v>0</v>
      </c>
      <c r="AI94" s="124" t="b">
        <f t="shared" si="12"/>
        <v>0</v>
      </c>
      <c r="AJ94" s="124" t="b">
        <f t="shared" si="13"/>
        <v>1</v>
      </c>
      <c r="AL94" s="124">
        <v>85</v>
      </c>
      <c r="AN94" s="124" t="str">
        <f t="array" ref="AN94">IFERROR(INDEX($AL$10:$AL$258, MATCH(0, IF(TRUE=$AI$10:$AI$258, COUNTIF($AN$9:$AN93, $AL$10:$AL$258), ""), 0)),"")</f>
        <v/>
      </c>
      <c r="AO94" s="124">
        <f t="array" ref="AO94">IFERROR(INDEX($AL$10:$AL$258, MATCH(0, IF(TRUE=$AJ$10:$AJ$258, COUNTIF($AO$9:$AO93, $AL$10:$AL$258), ""), 0)),"")</f>
        <v>91</v>
      </c>
      <c r="AQ94" s="30" t="str">
        <f>IFERROR(INDEX('G-7 WaterC'' Data'!$AZ$3:$AZ$7,MATCH(D94,'G-7 WaterC'' Data'!$AY$3:$AY$7,0)),"")</f>
        <v>Rivercond1</v>
      </c>
      <c r="AR94" s="30" t="str">
        <f>IFERROR(INDEX('G-7 WaterC'' Data'!AZ94:AZ98,MATCH(D94,'G-7 WaterC'' Data'!$AY$10:$AY$14,0)),"")</f>
        <v/>
      </c>
    </row>
    <row r="95" spans="3:44" ht="28.5" x14ac:dyDescent="0.2">
      <c r="C95" s="110">
        <v>86</v>
      </c>
      <c r="D95" s="338" t="s">
        <v>198</v>
      </c>
      <c r="E95" s="139">
        <v>3.8610163201669499E-3</v>
      </c>
      <c r="F95" s="362" t="str">
        <f>IF(D95="","",VLOOKUP(D95,'G-7 WaterC'' Data'!$B$2:$G$8,2,FALSE))</f>
        <v>Medium</v>
      </c>
      <c r="G95" s="363">
        <f>IFERROR(VLOOKUP(F95,'G-7 WaterC'' Data'!$C$4:$D$8,2,FALSE),"")</f>
        <v>4</v>
      </c>
      <c r="H95" s="114" t="s">
        <v>329</v>
      </c>
      <c r="I95" s="363">
        <f>IFERROR(INDEX('G-7 WaterC'' Data'!$H$4:$L$8,MATCH(D95,'G-7 WaterC'' Data'!$B$4:$B$8,0),MATCH(H95,'G-7 WaterC'' Data'!$H$3:$L$3,0)),"")</f>
        <v>1</v>
      </c>
      <c r="J95" s="320" t="s">
        <v>1037</v>
      </c>
      <c r="K95" s="398" t="str">
        <f>IF(J95="","",IF(VLOOKUP(J95,'G-7 WaterC'' Data'!$AK$4:$AM$6,2,FALSE)=0,"Spatial Data Missing ⚠",VLOOKUP(J95,'G-7 WaterC'' Data'!$AK$4:$AM$6,2,FALSE)))</f>
        <v>Low Strategic Significance</v>
      </c>
      <c r="L95" s="368">
        <f>IF(J95="","",IF(VLOOKUP(J95,'G-7 WaterC'' Data'!$AK$4:$AM$9,3,FALSE)=0,"Spatial Data Missing ⚠",VLOOKUP(J95,'G-7 WaterC'' Data'!$AK$4:$AM$6,3,FALSE)))</f>
        <v>1</v>
      </c>
      <c r="M95" s="54" t="s">
        <v>1126</v>
      </c>
      <c r="N95" s="363">
        <f>IF(M95="","",IF(VLOOKUP(M95,'G-7 WaterC'' Data'!$AA$4:$AB$7,2,FALSE)=0,"Spatial Data Missing ⚠",VLOOKUP(M95,'G-7 WaterC'' Data'!$AA$4:$AB$7,2,FALSE)))</f>
        <v>1</v>
      </c>
      <c r="O95" s="60" t="s">
        <v>1127</v>
      </c>
      <c r="P95" s="363">
        <f>IF(O95="","",IF(VLOOKUP(O95,'G-7 WaterC'' Data'!$AD$4:$AE$14,2,FALSE)=0,"Spatial Data Missing ⚠",VLOOKUP(O95,'G-7 WaterC'' Data'!$AD$4:$AE$14,2,FALSE)))</f>
        <v>0.75</v>
      </c>
      <c r="Q95" s="369" t="str">
        <f>IF(D95="","",VLOOKUP(D95,'G-7 WaterC'' Data'!$B$2:$G$8,6,FALSE))</f>
        <v>Same habitat required =</v>
      </c>
      <c r="R95" s="376">
        <f>IFERROR(IF(D95="","",IF(AND(Q95='G-1 All Habitats'!$X$3,U95&gt;0),V95+W95,IF(AND(Q95='G-1 All Habitats'!$X$3,T95&gt;0),V95+W95,IF(AND(Q95='G-1 All Habitats'!$X$3,AD95&gt;0),"Any Loss Unacceptable ⚠",IF(AND(Q95='G-1 All Habitats'!$X$3,AE95&gt;0),"Any Loss Unacceptable ⚠", E95*G95*I95*L95*N95*P95 ))))),"Check Data ▲")</f>
        <v>1.1583048960500849E-2</v>
      </c>
      <c r="S95" s="32"/>
      <c r="T95" s="114">
        <v>3.8610163201669499E-3</v>
      </c>
      <c r="U95" s="125">
        <v>0</v>
      </c>
      <c r="V95" s="374">
        <f t="shared" si="7"/>
        <v>1.1583048960500849E-2</v>
      </c>
      <c r="W95" s="374">
        <f t="shared" si="8"/>
        <v>0</v>
      </c>
      <c r="X95" s="374">
        <f t="shared" si="9"/>
        <v>0</v>
      </c>
      <c r="Y95" s="670">
        <f t="shared" si="10"/>
        <v>0</v>
      </c>
      <c r="Z95" s="706"/>
      <c r="AA95" s="704"/>
      <c r="AB95" s="120"/>
      <c r="AC95" s="120" t="s">
        <v>2087</v>
      </c>
      <c r="AD95" s="57" t="str">
        <f>IF(Q95="","",IF(Q95='G-1 All Habitats'!$X$3,E95-T95-U95,"None"))</f>
        <v>None</v>
      </c>
      <c r="AE95" s="58" t="str">
        <f>IF(Q95="","", IF(Q95='G-1 All Habitats'!$X$3, AD95*G95*I95*L95*N95*P95,"None"))</f>
        <v>None</v>
      </c>
      <c r="AH95" s="30">
        <f t="shared" si="11"/>
        <v>0</v>
      </c>
      <c r="AI95" s="124" t="b">
        <f t="shared" si="12"/>
        <v>1</v>
      </c>
      <c r="AJ95" s="124" t="b">
        <f t="shared" si="13"/>
        <v>0</v>
      </c>
      <c r="AL95" s="124">
        <v>86</v>
      </c>
      <c r="AN95" s="124" t="str">
        <f t="array" ref="AN95">IFERROR(INDEX($AL$10:$AL$258, MATCH(0, IF(TRUE=$AI$10:$AI$258, COUNTIF($AN$9:$AN94, $AL$10:$AL$258), ""), 0)),"")</f>
        <v/>
      </c>
      <c r="AO95" s="124">
        <f t="array" ref="AO95">IFERROR(INDEX($AL$10:$AL$258, MATCH(0, IF(TRUE=$AJ$10:$AJ$258, COUNTIF($AO$9:$AO94, $AL$10:$AL$258), ""), 0)),"")</f>
        <v>92</v>
      </c>
      <c r="AQ95" s="30" t="str">
        <f>IFERROR(INDEX('G-7 WaterC'' Data'!$AZ$3:$AZ$7,MATCH(D95,'G-7 WaterC'' Data'!$AY$3:$AY$7,0)),"")</f>
        <v>Rivercond1</v>
      </c>
      <c r="AR95" s="30" t="str">
        <f>IFERROR(INDEX('G-7 WaterC'' Data'!AZ95:AZ99,MATCH(D95,'G-7 WaterC'' Data'!$AY$10:$AY$14,0)),"")</f>
        <v/>
      </c>
    </row>
    <row r="96" spans="3:44" ht="28.5" x14ac:dyDescent="0.2">
      <c r="C96" s="110">
        <v>87</v>
      </c>
      <c r="D96" s="338" t="s">
        <v>198</v>
      </c>
      <c r="E96" s="139">
        <v>0.36548608442246922</v>
      </c>
      <c r="F96" s="362" t="str">
        <f>IF(D96="","",VLOOKUP(D96,'G-7 WaterC'' Data'!$B$2:$G$8,2,FALSE))</f>
        <v>Medium</v>
      </c>
      <c r="G96" s="363">
        <f>IFERROR(VLOOKUP(F96,'G-7 WaterC'' Data'!$C$4:$D$8,2,FALSE),"")</f>
        <v>4</v>
      </c>
      <c r="H96" s="114" t="s">
        <v>329</v>
      </c>
      <c r="I96" s="363">
        <f>IFERROR(INDEX('G-7 WaterC'' Data'!$H$4:$L$8,MATCH(D96,'G-7 WaterC'' Data'!$B$4:$B$8,0),MATCH(H96,'G-7 WaterC'' Data'!$H$3:$L$3,0)),"")</f>
        <v>1</v>
      </c>
      <c r="J96" s="320" t="s">
        <v>1037</v>
      </c>
      <c r="K96" s="398" t="str">
        <f>IF(J96="","",IF(VLOOKUP(J96,'G-7 WaterC'' Data'!$AK$4:$AM$6,2,FALSE)=0,"Spatial Data Missing ⚠",VLOOKUP(J96,'G-7 WaterC'' Data'!$AK$4:$AM$6,2,FALSE)))</f>
        <v>Low Strategic Significance</v>
      </c>
      <c r="L96" s="368">
        <f>IF(J96="","",IF(VLOOKUP(J96,'G-7 WaterC'' Data'!$AK$4:$AM$9,3,FALSE)=0,"Spatial Data Missing ⚠",VLOOKUP(J96,'G-7 WaterC'' Data'!$AK$4:$AM$6,3,FALSE)))</f>
        <v>1</v>
      </c>
      <c r="M96" s="54" t="s">
        <v>1126</v>
      </c>
      <c r="N96" s="363">
        <f>IF(M96="","",IF(VLOOKUP(M96,'G-7 WaterC'' Data'!$AA$4:$AB$7,2,FALSE)=0,"Spatial Data Missing ⚠",VLOOKUP(M96,'G-7 WaterC'' Data'!$AA$4:$AB$7,2,FALSE)))</f>
        <v>1</v>
      </c>
      <c r="O96" s="60" t="s">
        <v>1127</v>
      </c>
      <c r="P96" s="363">
        <f>IF(O96="","",IF(VLOOKUP(O96,'G-7 WaterC'' Data'!$AD$4:$AE$14,2,FALSE)=0,"Spatial Data Missing ⚠",VLOOKUP(O96,'G-7 WaterC'' Data'!$AD$4:$AE$14,2,FALSE)))</f>
        <v>0.75</v>
      </c>
      <c r="Q96" s="369" t="str">
        <f>IF(D96="","",VLOOKUP(D96,'G-7 WaterC'' Data'!$B$2:$G$8,6,FALSE))</f>
        <v>Same habitat required =</v>
      </c>
      <c r="R96" s="376">
        <f>IFERROR(IF(D96="","",IF(AND(Q96='G-1 All Habitats'!$X$3,U96&gt;0),V96+W96,IF(AND(Q96='G-1 All Habitats'!$X$3,T96&gt;0),V96+W96,IF(AND(Q96='G-1 All Habitats'!$X$3,AD96&gt;0),"Any Loss Unacceptable ⚠",IF(AND(Q96='G-1 All Habitats'!$X$3,AE96&gt;0),"Any Loss Unacceptable ⚠", E96*G96*I96*L96*N96*P96 ))))),"Check Data ▲")</f>
        <v>1.0964582532674076</v>
      </c>
      <c r="S96" s="32"/>
      <c r="T96" s="114">
        <v>0</v>
      </c>
      <c r="U96" s="125">
        <v>0.36548608442246922</v>
      </c>
      <c r="V96" s="374">
        <f t="shared" si="7"/>
        <v>0</v>
      </c>
      <c r="W96" s="374">
        <f t="shared" si="8"/>
        <v>1.0964582532674076</v>
      </c>
      <c r="X96" s="374">
        <f t="shared" si="9"/>
        <v>0</v>
      </c>
      <c r="Y96" s="670">
        <f t="shared" si="10"/>
        <v>0</v>
      </c>
      <c r="Z96" s="706"/>
      <c r="AA96" s="704"/>
      <c r="AB96" s="120"/>
      <c r="AC96" s="120" t="s">
        <v>2088</v>
      </c>
      <c r="AD96" s="57" t="str">
        <f>IF(Q96="","",IF(Q96='G-1 All Habitats'!$X$3,E96-T96-U96,"None"))</f>
        <v>None</v>
      </c>
      <c r="AE96" s="58" t="str">
        <f>IF(Q96="","", IF(Q96='G-1 All Habitats'!$X$3, AD96*G96*I96*L96*N96*P96,"None"))</f>
        <v>None</v>
      </c>
      <c r="AH96" s="30">
        <f t="shared" si="11"/>
        <v>0</v>
      </c>
      <c r="AI96" s="124" t="b">
        <f t="shared" si="12"/>
        <v>0</v>
      </c>
      <c r="AJ96" s="124" t="b">
        <f t="shared" si="13"/>
        <v>1</v>
      </c>
      <c r="AL96" s="124">
        <v>87</v>
      </c>
      <c r="AN96" s="124" t="str">
        <f t="array" ref="AN96">IFERROR(INDEX($AL$10:$AL$258, MATCH(0, IF(TRUE=$AI$10:$AI$258, COUNTIF($AN$9:$AN95, $AL$10:$AL$258), ""), 0)),"")</f>
        <v/>
      </c>
      <c r="AO96" s="124">
        <f t="array" ref="AO96">IFERROR(INDEX($AL$10:$AL$258, MATCH(0, IF(TRUE=$AJ$10:$AJ$258, COUNTIF($AO$9:$AO95, $AL$10:$AL$258), ""), 0)),"")</f>
        <v>93</v>
      </c>
      <c r="AQ96" s="30" t="str">
        <f>IFERROR(INDEX('G-7 WaterC'' Data'!$AZ$3:$AZ$7,MATCH(D96,'G-7 WaterC'' Data'!$AY$3:$AY$7,0)),"")</f>
        <v>Rivercond1</v>
      </c>
      <c r="AR96" s="30" t="str">
        <f>IFERROR(INDEX('G-7 WaterC'' Data'!AZ96:AZ100,MATCH(D96,'G-7 WaterC'' Data'!$AY$10:$AY$14,0)),"")</f>
        <v/>
      </c>
    </row>
    <row r="97" spans="3:44" ht="28.5" x14ac:dyDescent="0.2">
      <c r="C97" s="110">
        <v>88</v>
      </c>
      <c r="D97" s="338" t="s">
        <v>198</v>
      </c>
      <c r="E97" s="139">
        <v>0.23096108070261973</v>
      </c>
      <c r="F97" s="362" t="str">
        <f>IF(D97="","",VLOOKUP(D97,'G-7 WaterC'' Data'!$B$2:$G$8,2,FALSE))</f>
        <v>Medium</v>
      </c>
      <c r="G97" s="363">
        <f>IFERROR(VLOOKUP(F97,'G-7 WaterC'' Data'!$C$4:$D$8,2,FALSE),"")</f>
        <v>4</v>
      </c>
      <c r="H97" s="114" t="s">
        <v>329</v>
      </c>
      <c r="I97" s="363">
        <f>IFERROR(INDEX('G-7 WaterC'' Data'!$H$4:$L$8,MATCH(D97,'G-7 WaterC'' Data'!$B$4:$B$8,0),MATCH(H97,'G-7 WaterC'' Data'!$H$3:$L$3,0)),"")</f>
        <v>1</v>
      </c>
      <c r="J97" s="320" t="s">
        <v>1037</v>
      </c>
      <c r="K97" s="398" t="str">
        <f>IF(J97="","",IF(VLOOKUP(J97,'G-7 WaterC'' Data'!$AK$4:$AM$6,2,FALSE)=0,"Spatial Data Missing ⚠",VLOOKUP(J97,'G-7 WaterC'' Data'!$AK$4:$AM$6,2,FALSE)))</f>
        <v>Low Strategic Significance</v>
      </c>
      <c r="L97" s="368">
        <f>IF(J97="","",IF(VLOOKUP(J97,'G-7 WaterC'' Data'!$AK$4:$AM$9,3,FALSE)=0,"Spatial Data Missing ⚠",VLOOKUP(J97,'G-7 WaterC'' Data'!$AK$4:$AM$6,3,FALSE)))</f>
        <v>1</v>
      </c>
      <c r="M97" s="54" t="s">
        <v>1126</v>
      </c>
      <c r="N97" s="363">
        <f>IF(M97="","",IF(VLOOKUP(M97,'G-7 WaterC'' Data'!$AA$4:$AB$7,2,FALSE)=0,"Spatial Data Missing ⚠",VLOOKUP(M97,'G-7 WaterC'' Data'!$AA$4:$AB$7,2,FALSE)))</f>
        <v>1</v>
      </c>
      <c r="O97" s="60" t="s">
        <v>1127</v>
      </c>
      <c r="P97" s="363">
        <f>IF(O97="","",IF(VLOOKUP(O97,'G-7 WaterC'' Data'!$AD$4:$AE$14,2,FALSE)=0,"Spatial Data Missing ⚠",VLOOKUP(O97,'G-7 WaterC'' Data'!$AD$4:$AE$14,2,FALSE)))</f>
        <v>0.75</v>
      </c>
      <c r="Q97" s="369" t="str">
        <f>IF(D97="","",VLOOKUP(D97,'G-7 WaterC'' Data'!$B$2:$G$8,6,FALSE))</f>
        <v>Same habitat required =</v>
      </c>
      <c r="R97" s="376">
        <f>IFERROR(IF(D97="","",IF(AND(Q97='G-1 All Habitats'!$X$3,U97&gt;0),V97+W97,IF(AND(Q97='G-1 All Habitats'!$X$3,T97&gt;0),V97+W97,IF(AND(Q97='G-1 All Habitats'!$X$3,AD97&gt;0),"Any Loss Unacceptable ⚠",IF(AND(Q97='G-1 All Habitats'!$X$3,AE97&gt;0),"Any Loss Unacceptable ⚠", E97*G97*I97*L97*N97*P97 ))))),"Check Data ▲")</f>
        <v>0.69288324210785923</v>
      </c>
      <c r="S97" s="32"/>
      <c r="T97" s="114">
        <v>0</v>
      </c>
      <c r="U97" s="125">
        <v>0.23096108070261973</v>
      </c>
      <c r="V97" s="374">
        <f t="shared" si="7"/>
        <v>0</v>
      </c>
      <c r="W97" s="374">
        <f t="shared" si="8"/>
        <v>0.69288324210785923</v>
      </c>
      <c r="X97" s="374">
        <f t="shared" si="9"/>
        <v>0</v>
      </c>
      <c r="Y97" s="670">
        <f t="shared" si="10"/>
        <v>0</v>
      </c>
      <c r="Z97" s="706"/>
      <c r="AA97" s="704"/>
      <c r="AB97" s="120"/>
      <c r="AC97" s="120" t="s">
        <v>2089</v>
      </c>
      <c r="AD97" s="57" t="str">
        <f>IF(Q97="","",IF(Q97='G-1 All Habitats'!$X$3,E97-T97-U97,"None"))</f>
        <v>None</v>
      </c>
      <c r="AE97" s="58" t="str">
        <f>IF(Q97="","", IF(Q97='G-1 All Habitats'!$X$3, AD97*G97*I97*L97*N97*P97,"None"))</f>
        <v>None</v>
      </c>
      <c r="AH97" s="30">
        <f t="shared" si="11"/>
        <v>0</v>
      </c>
      <c r="AI97" s="124" t="b">
        <f t="shared" si="12"/>
        <v>0</v>
      </c>
      <c r="AJ97" s="124" t="b">
        <f t="shared" si="13"/>
        <v>1</v>
      </c>
      <c r="AL97" s="124">
        <v>88</v>
      </c>
      <c r="AN97" s="124" t="str">
        <f t="array" ref="AN97">IFERROR(INDEX($AL$10:$AL$258, MATCH(0, IF(TRUE=$AI$10:$AI$258, COUNTIF($AN$9:$AN96, $AL$10:$AL$258), ""), 0)),"")</f>
        <v/>
      </c>
      <c r="AO97" s="124">
        <f t="array" ref="AO97">IFERROR(INDEX($AL$10:$AL$258, MATCH(0, IF(TRUE=$AJ$10:$AJ$258, COUNTIF($AO$9:$AO96, $AL$10:$AL$258), ""), 0)),"")</f>
        <v>94</v>
      </c>
      <c r="AQ97" s="30" t="str">
        <f>IFERROR(INDEX('G-7 WaterC'' Data'!$AZ$3:$AZ$7,MATCH(D97,'G-7 WaterC'' Data'!$AY$3:$AY$7,0)),"")</f>
        <v>Rivercond1</v>
      </c>
      <c r="AR97" s="30" t="str">
        <f>IFERROR(INDEX('G-7 WaterC'' Data'!AZ97:AZ101,MATCH(D97,'G-7 WaterC'' Data'!$AY$10:$AY$14,0)),"")</f>
        <v/>
      </c>
    </row>
    <row r="98" spans="3:44" ht="28.5" x14ac:dyDescent="0.2">
      <c r="C98" s="110">
        <v>89</v>
      </c>
      <c r="D98" s="338" t="s">
        <v>198</v>
      </c>
      <c r="E98" s="139">
        <v>0.1555992583076454</v>
      </c>
      <c r="F98" s="362" t="str">
        <f>IF(D98="","",VLOOKUP(D98,'G-7 WaterC'' Data'!$B$2:$G$8,2,FALSE))</f>
        <v>Medium</v>
      </c>
      <c r="G98" s="363">
        <f>IFERROR(VLOOKUP(F98,'G-7 WaterC'' Data'!$C$4:$D$8,2,FALSE),"")</f>
        <v>4</v>
      </c>
      <c r="H98" s="114" t="s">
        <v>329</v>
      </c>
      <c r="I98" s="363">
        <f>IFERROR(INDEX('G-7 WaterC'' Data'!$H$4:$L$8,MATCH(D98,'G-7 WaterC'' Data'!$B$4:$B$8,0),MATCH(H98,'G-7 WaterC'' Data'!$H$3:$L$3,0)),"")</f>
        <v>1</v>
      </c>
      <c r="J98" s="320" t="s">
        <v>1037</v>
      </c>
      <c r="K98" s="398" t="str">
        <f>IF(J98="","",IF(VLOOKUP(J98,'G-7 WaterC'' Data'!$AK$4:$AM$6,2,FALSE)=0,"Spatial Data Missing ⚠",VLOOKUP(J98,'G-7 WaterC'' Data'!$AK$4:$AM$6,2,FALSE)))</f>
        <v>Low Strategic Significance</v>
      </c>
      <c r="L98" s="368">
        <f>IF(J98="","",IF(VLOOKUP(J98,'G-7 WaterC'' Data'!$AK$4:$AM$9,3,FALSE)=0,"Spatial Data Missing ⚠",VLOOKUP(J98,'G-7 WaterC'' Data'!$AK$4:$AM$6,3,FALSE)))</f>
        <v>1</v>
      </c>
      <c r="M98" s="54" t="s">
        <v>1126</v>
      </c>
      <c r="N98" s="363">
        <f>IF(M98="","",IF(VLOOKUP(M98,'G-7 WaterC'' Data'!$AA$4:$AB$7,2,FALSE)=0,"Spatial Data Missing ⚠",VLOOKUP(M98,'G-7 WaterC'' Data'!$AA$4:$AB$7,2,FALSE)))</f>
        <v>1</v>
      </c>
      <c r="O98" s="60" t="s">
        <v>1127</v>
      </c>
      <c r="P98" s="363">
        <f>IF(O98="","",IF(VLOOKUP(O98,'G-7 WaterC'' Data'!$AD$4:$AE$14,2,FALSE)=0,"Spatial Data Missing ⚠",VLOOKUP(O98,'G-7 WaterC'' Data'!$AD$4:$AE$14,2,FALSE)))</f>
        <v>0.75</v>
      </c>
      <c r="Q98" s="369" t="str">
        <f>IF(D98="","",VLOOKUP(D98,'G-7 WaterC'' Data'!$B$2:$G$8,6,FALSE))</f>
        <v>Same habitat required =</v>
      </c>
      <c r="R98" s="376">
        <f>IFERROR(IF(D98="","",IF(AND(Q98='G-1 All Habitats'!$X$3,U98&gt;0),V98+W98,IF(AND(Q98='G-1 All Habitats'!$X$3,T98&gt;0),V98+W98,IF(AND(Q98='G-1 All Habitats'!$X$3,AD98&gt;0),"Any Loss Unacceptable ⚠",IF(AND(Q98='G-1 All Habitats'!$X$3,AE98&gt;0),"Any Loss Unacceptable ⚠", E98*G98*I98*L98*N98*P98 ))))),"Check Data ▲")</f>
        <v>0.46679777492293617</v>
      </c>
      <c r="S98" s="32"/>
      <c r="T98" s="114">
        <v>0</v>
      </c>
      <c r="U98" s="125">
        <v>0.1555992583076454</v>
      </c>
      <c r="V98" s="374">
        <f t="shared" si="7"/>
        <v>0</v>
      </c>
      <c r="W98" s="374">
        <f t="shared" si="8"/>
        <v>0.46679777492293617</v>
      </c>
      <c r="X98" s="374">
        <f t="shared" si="9"/>
        <v>0</v>
      </c>
      <c r="Y98" s="670">
        <f t="shared" si="10"/>
        <v>0</v>
      </c>
      <c r="Z98" s="706"/>
      <c r="AA98" s="704"/>
      <c r="AB98" s="120"/>
      <c r="AC98" s="120" t="s">
        <v>2090</v>
      </c>
      <c r="AD98" s="57" t="str">
        <f>IF(Q98="","",IF(Q98='G-1 All Habitats'!$X$3,E98-T98-U98,"None"))</f>
        <v>None</v>
      </c>
      <c r="AE98" s="58" t="str">
        <f>IF(Q98="","", IF(Q98='G-1 All Habitats'!$X$3, AD98*G98*I98*L98*N98*P98,"None"))</f>
        <v>None</v>
      </c>
      <c r="AH98" s="30">
        <f t="shared" si="11"/>
        <v>0</v>
      </c>
      <c r="AI98" s="124" t="b">
        <f t="shared" si="12"/>
        <v>0</v>
      </c>
      <c r="AJ98" s="124" t="b">
        <f t="shared" si="13"/>
        <v>1</v>
      </c>
      <c r="AL98" s="124">
        <v>89</v>
      </c>
      <c r="AN98" s="124" t="str">
        <f t="array" ref="AN98">IFERROR(INDEX($AL$10:$AL$258, MATCH(0, IF(TRUE=$AI$10:$AI$258, COUNTIF($AN$9:$AN97, $AL$10:$AL$258), ""), 0)),"")</f>
        <v/>
      </c>
      <c r="AO98" s="124">
        <f t="array" ref="AO98">IFERROR(INDEX($AL$10:$AL$258, MATCH(0, IF(TRUE=$AJ$10:$AJ$258, COUNTIF($AO$9:$AO97, $AL$10:$AL$258), ""), 0)),"")</f>
        <v>95</v>
      </c>
      <c r="AQ98" s="30" t="str">
        <f>IFERROR(INDEX('G-7 WaterC'' Data'!$AZ$3:$AZ$7,MATCH(D98,'G-7 WaterC'' Data'!$AY$3:$AY$7,0)),"")</f>
        <v>Rivercond1</v>
      </c>
      <c r="AR98" s="30" t="str">
        <f>IFERROR(INDEX('G-7 WaterC'' Data'!AZ98:AZ102,MATCH(D98,'G-7 WaterC'' Data'!$AY$10:$AY$14,0)),"")</f>
        <v/>
      </c>
    </row>
    <row r="99" spans="3:44" ht="28.5" x14ac:dyDescent="0.2">
      <c r="C99" s="110">
        <v>90</v>
      </c>
      <c r="D99" s="338" t="s">
        <v>198</v>
      </c>
      <c r="E99" s="139">
        <v>0.17683387411096688</v>
      </c>
      <c r="F99" s="362" t="str">
        <f>IF(D99="","",VLOOKUP(D99,'G-7 WaterC'' Data'!$B$2:$G$8,2,FALSE))</f>
        <v>Medium</v>
      </c>
      <c r="G99" s="363">
        <f>IFERROR(VLOOKUP(F99,'G-7 WaterC'' Data'!$C$4:$D$8,2,FALSE),"")</f>
        <v>4</v>
      </c>
      <c r="H99" s="114" t="s">
        <v>329</v>
      </c>
      <c r="I99" s="363">
        <f>IFERROR(INDEX('G-7 WaterC'' Data'!$H$4:$L$8,MATCH(D99,'G-7 WaterC'' Data'!$B$4:$B$8,0),MATCH(H99,'G-7 WaterC'' Data'!$H$3:$L$3,0)),"")</f>
        <v>1</v>
      </c>
      <c r="J99" s="320" t="s">
        <v>1037</v>
      </c>
      <c r="K99" s="398" t="str">
        <f>IF(J99="","",IF(VLOOKUP(J99,'G-7 WaterC'' Data'!$AK$4:$AM$6,2,FALSE)=0,"Spatial Data Missing ⚠",VLOOKUP(J99,'G-7 WaterC'' Data'!$AK$4:$AM$6,2,FALSE)))</f>
        <v>Low Strategic Significance</v>
      </c>
      <c r="L99" s="368">
        <f>IF(J99="","",IF(VLOOKUP(J99,'G-7 WaterC'' Data'!$AK$4:$AM$9,3,FALSE)=0,"Spatial Data Missing ⚠",VLOOKUP(J99,'G-7 WaterC'' Data'!$AK$4:$AM$6,3,FALSE)))</f>
        <v>1</v>
      </c>
      <c r="M99" s="54" t="s">
        <v>1126</v>
      </c>
      <c r="N99" s="363">
        <f>IF(M99="","",IF(VLOOKUP(M99,'G-7 WaterC'' Data'!$AA$4:$AB$7,2,FALSE)=0,"Spatial Data Missing ⚠",VLOOKUP(M99,'G-7 WaterC'' Data'!$AA$4:$AB$7,2,FALSE)))</f>
        <v>1</v>
      </c>
      <c r="O99" s="60" t="s">
        <v>1127</v>
      </c>
      <c r="P99" s="363">
        <f>IF(O99="","",IF(VLOOKUP(O99,'G-7 WaterC'' Data'!$AD$4:$AE$14,2,FALSE)=0,"Spatial Data Missing ⚠",VLOOKUP(O99,'G-7 WaterC'' Data'!$AD$4:$AE$14,2,FALSE)))</f>
        <v>0.75</v>
      </c>
      <c r="Q99" s="369" t="str">
        <f>IF(D99="","",VLOOKUP(D99,'G-7 WaterC'' Data'!$B$2:$G$8,6,FALSE))</f>
        <v>Same habitat required =</v>
      </c>
      <c r="R99" s="376">
        <f>IFERROR(IF(D99="","",IF(AND(Q99='G-1 All Habitats'!$X$3,U99&gt;0),V99+W99,IF(AND(Q99='G-1 All Habitats'!$X$3,T99&gt;0),V99+W99,IF(AND(Q99='G-1 All Habitats'!$X$3,AD99&gt;0),"Any Loss Unacceptable ⚠",IF(AND(Q99='G-1 All Habitats'!$X$3,AE99&gt;0),"Any Loss Unacceptable ⚠", E99*G99*I99*L99*N99*P99 ))))),"Check Data ▲")</f>
        <v>0.53050162233290066</v>
      </c>
      <c r="S99" s="32"/>
      <c r="T99" s="114">
        <v>0</v>
      </c>
      <c r="U99" s="125">
        <v>0.17683387411096688</v>
      </c>
      <c r="V99" s="374">
        <f t="shared" si="7"/>
        <v>0</v>
      </c>
      <c r="W99" s="374">
        <f t="shared" si="8"/>
        <v>0.53050162233290066</v>
      </c>
      <c r="X99" s="374">
        <f t="shared" si="9"/>
        <v>0</v>
      </c>
      <c r="Y99" s="670">
        <f t="shared" si="10"/>
        <v>0</v>
      </c>
      <c r="Z99" s="706"/>
      <c r="AA99" s="704"/>
      <c r="AB99" s="120"/>
      <c r="AC99" s="120" t="s">
        <v>2091</v>
      </c>
      <c r="AD99" s="57" t="str">
        <f>IF(Q99="","",IF(Q99='G-1 All Habitats'!$X$3,E99-T99-U99,"None"))</f>
        <v>None</v>
      </c>
      <c r="AE99" s="58" t="str">
        <f>IF(Q99="","", IF(Q99='G-1 All Habitats'!$X$3, AD99*G99*I99*L99*N99*P99,"None"))</f>
        <v>None</v>
      </c>
      <c r="AH99" s="30">
        <f t="shared" si="11"/>
        <v>0</v>
      </c>
      <c r="AI99" s="124" t="b">
        <f t="shared" si="12"/>
        <v>0</v>
      </c>
      <c r="AJ99" s="124" t="b">
        <f t="shared" si="13"/>
        <v>1</v>
      </c>
      <c r="AL99" s="124">
        <v>90</v>
      </c>
      <c r="AN99" s="124" t="str">
        <f t="array" ref="AN99">IFERROR(INDEX($AL$10:$AL$258, MATCH(0, IF(TRUE=$AI$10:$AI$258, COUNTIF($AN$9:$AN98, $AL$10:$AL$258), ""), 0)),"")</f>
        <v/>
      </c>
      <c r="AO99" s="124">
        <f t="array" ref="AO99">IFERROR(INDEX($AL$10:$AL$258, MATCH(0, IF(TRUE=$AJ$10:$AJ$258, COUNTIF($AO$9:$AO98, $AL$10:$AL$258), ""), 0)),"")</f>
        <v>96</v>
      </c>
      <c r="AQ99" s="30" t="str">
        <f>IFERROR(INDEX('G-7 WaterC'' Data'!$AZ$3:$AZ$7,MATCH(D99,'G-7 WaterC'' Data'!$AY$3:$AY$7,0)),"")</f>
        <v>Rivercond1</v>
      </c>
      <c r="AR99" s="30" t="str">
        <f>IFERROR(INDEX('G-7 WaterC'' Data'!AZ99:AZ103,MATCH(D99,'G-7 WaterC'' Data'!$AY$10:$AY$14,0)),"")</f>
        <v/>
      </c>
    </row>
    <row r="100" spans="3:44" ht="28.5" x14ac:dyDescent="0.2">
      <c r="C100" s="110">
        <v>91</v>
      </c>
      <c r="D100" s="338" t="s">
        <v>198</v>
      </c>
      <c r="E100" s="139">
        <v>9.1474573592324263E-2</v>
      </c>
      <c r="F100" s="362" t="str">
        <f>IF(D100="","",VLOOKUP(D100,'G-7 WaterC'' Data'!$B$2:$G$8,2,FALSE))</f>
        <v>Medium</v>
      </c>
      <c r="G100" s="363">
        <f>IFERROR(VLOOKUP(F100,'G-7 WaterC'' Data'!$C$4:$D$8,2,FALSE),"")</f>
        <v>4</v>
      </c>
      <c r="H100" s="114" t="s">
        <v>329</v>
      </c>
      <c r="I100" s="363">
        <f>IFERROR(INDEX('G-7 WaterC'' Data'!$H$4:$L$8,MATCH(D100,'G-7 WaterC'' Data'!$B$4:$B$8,0),MATCH(H100,'G-7 WaterC'' Data'!$H$3:$L$3,0)),"")</f>
        <v>1</v>
      </c>
      <c r="J100" s="320" t="s">
        <v>1037</v>
      </c>
      <c r="K100" s="398" t="str">
        <f>IF(J100="","",IF(VLOOKUP(J100,'G-7 WaterC'' Data'!$AK$4:$AM$6,2,FALSE)=0,"Spatial Data Missing ⚠",VLOOKUP(J100,'G-7 WaterC'' Data'!$AK$4:$AM$6,2,FALSE)))</f>
        <v>Low Strategic Significance</v>
      </c>
      <c r="L100" s="368">
        <f>IF(J100="","",IF(VLOOKUP(J100,'G-7 WaterC'' Data'!$AK$4:$AM$9,3,FALSE)=0,"Spatial Data Missing ⚠",VLOOKUP(J100,'G-7 WaterC'' Data'!$AK$4:$AM$6,3,FALSE)))</f>
        <v>1</v>
      </c>
      <c r="M100" s="54" t="s">
        <v>1126</v>
      </c>
      <c r="N100" s="363">
        <f>IF(M100="","",IF(VLOOKUP(M100,'G-7 WaterC'' Data'!$AA$4:$AB$7,2,FALSE)=0,"Spatial Data Missing ⚠",VLOOKUP(M100,'G-7 WaterC'' Data'!$AA$4:$AB$7,2,FALSE)))</f>
        <v>1</v>
      </c>
      <c r="O100" s="60" t="s">
        <v>1127</v>
      </c>
      <c r="P100" s="363">
        <f>IF(O100="","",IF(VLOOKUP(O100,'G-7 WaterC'' Data'!$AD$4:$AE$14,2,FALSE)=0,"Spatial Data Missing ⚠",VLOOKUP(O100,'G-7 WaterC'' Data'!$AD$4:$AE$14,2,FALSE)))</f>
        <v>0.75</v>
      </c>
      <c r="Q100" s="369" t="str">
        <f>IF(D100="","",VLOOKUP(D100,'G-7 WaterC'' Data'!$B$2:$G$8,6,FALSE))</f>
        <v>Same habitat required =</v>
      </c>
      <c r="R100" s="376">
        <f>IFERROR(IF(D100="","",IF(AND(Q100='G-1 All Habitats'!$X$3,U100&gt;0),V100+W100,IF(AND(Q100='G-1 All Habitats'!$X$3,T100&gt;0),V100+W100,IF(AND(Q100='G-1 All Habitats'!$X$3,AD100&gt;0),"Any Loss Unacceptable ⚠",IF(AND(Q100='G-1 All Habitats'!$X$3,AE100&gt;0),"Any Loss Unacceptable ⚠", E100*G100*I100*L100*N100*P100 ))))),"Check Data ▲")</f>
        <v>0.2744237207769728</v>
      </c>
      <c r="S100" s="32"/>
      <c r="T100" s="114">
        <v>0</v>
      </c>
      <c r="U100" s="125">
        <v>9.1474573592324263E-2</v>
      </c>
      <c r="V100" s="374">
        <f t="shared" si="7"/>
        <v>0</v>
      </c>
      <c r="W100" s="374">
        <f t="shared" si="8"/>
        <v>0.2744237207769728</v>
      </c>
      <c r="X100" s="374">
        <f t="shared" si="9"/>
        <v>0</v>
      </c>
      <c r="Y100" s="670">
        <f t="shared" si="10"/>
        <v>0</v>
      </c>
      <c r="Z100" s="706"/>
      <c r="AA100" s="704"/>
      <c r="AB100" s="120"/>
      <c r="AC100" s="120" t="s">
        <v>2092</v>
      </c>
      <c r="AD100" s="57" t="str">
        <f>IF(Q100="","",IF(Q100='G-1 All Habitats'!$X$3,E100-T100-U100,"None"))</f>
        <v>None</v>
      </c>
      <c r="AE100" s="58" t="str">
        <f>IF(Q100="","", IF(Q100='G-1 All Habitats'!$X$3, AD100*G100*I100*L100*N100*P100,"None"))</f>
        <v>None</v>
      </c>
      <c r="AH100" s="30">
        <f t="shared" si="11"/>
        <v>0</v>
      </c>
      <c r="AI100" s="124" t="b">
        <f t="shared" si="12"/>
        <v>0</v>
      </c>
      <c r="AJ100" s="124" t="b">
        <f t="shared" si="13"/>
        <v>1</v>
      </c>
      <c r="AL100" s="124">
        <v>91</v>
      </c>
      <c r="AN100" s="124" t="str">
        <f t="array" ref="AN100">IFERROR(INDEX($AL$10:$AL$258, MATCH(0, IF(TRUE=$AI$10:$AI$258, COUNTIF($AN$9:$AN99, $AL$10:$AL$258), ""), 0)),"")</f>
        <v/>
      </c>
      <c r="AO100" s="124">
        <f t="array" ref="AO100">IFERROR(INDEX($AL$10:$AL$258, MATCH(0, IF(TRUE=$AJ$10:$AJ$258, COUNTIF($AO$9:$AO99, $AL$10:$AL$258), ""), 0)),"")</f>
        <v>97</v>
      </c>
      <c r="AQ100" s="30" t="str">
        <f>IFERROR(INDEX('G-7 WaterC'' Data'!$AZ$3:$AZ$7,MATCH(D100,'G-7 WaterC'' Data'!$AY$3:$AY$7,0)),"")</f>
        <v>Rivercond1</v>
      </c>
      <c r="AR100" s="30" t="str">
        <f>IFERROR(INDEX('G-7 WaterC'' Data'!AZ100:AZ104,MATCH(D100,'G-7 WaterC'' Data'!$AY$10:$AY$14,0)),"")</f>
        <v/>
      </c>
    </row>
    <row r="101" spans="3:44" ht="28.5" x14ac:dyDescent="0.2">
      <c r="C101" s="110">
        <v>92</v>
      </c>
      <c r="D101" s="338" t="s">
        <v>198</v>
      </c>
      <c r="E101" s="139">
        <v>1.4304948934411332E-4</v>
      </c>
      <c r="F101" s="362" t="str">
        <f>IF(D101="","",VLOOKUP(D101,'G-7 WaterC'' Data'!$B$2:$G$8,2,FALSE))</f>
        <v>Medium</v>
      </c>
      <c r="G101" s="363">
        <f>IFERROR(VLOOKUP(F101,'G-7 WaterC'' Data'!$C$4:$D$8,2,FALSE),"")</f>
        <v>4</v>
      </c>
      <c r="H101" s="114" t="s">
        <v>329</v>
      </c>
      <c r="I101" s="363">
        <f>IFERROR(INDEX('G-7 WaterC'' Data'!$H$4:$L$8,MATCH(D101,'G-7 WaterC'' Data'!$B$4:$B$8,0),MATCH(H101,'G-7 WaterC'' Data'!$H$3:$L$3,0)),"")</f>
        <v>1</v>
      </c>
      <c r="J101" s="320" t="s">
        <v>1029</v>
      </c>
      <c r="K101" s="398" t="str">
        <f>IF(J101="","",IF(VLOOKUP(J101,'G-7 WaterC'' Data'!$AK$4:$AM$6,2,FALSE)=0,"Spatial Data Missing ⚠",VLOOKUP(J101,'G-7 WaterC'' Data'!$AK$4:$AM$6,2,FALSE)))</f>
        <v xml:space="preserve">High strategic significance </v>
      </c>
      <c r="L101" s="368">
        <f>IF(J101="","",IF(VLOOKUP(J101,'G-7 WaterC'' Data'!$AK$4:$AM$9,3,FALSE)=0,"Spatial Data Missing ⚠",VLOOKUP(J101,'G-7 WaterC'' Data'!$AK$4:$AM$6,3,FALSE)))</f>
        <v>1.1499999999999999</v>
      </c>
      <c r="M101" s="54" t="s">
        <v>1126</v>
      </c>
      <c r="N101" s="363">
        <f>IF(M101="","",IF(VLOOKUP(M101,'G-7 WaterC'' Data'!$AA$4:$AB$7,2,FALSE)=0,"Spatial Data Missing ⚠",VLOOKUP(M101,'G-7 WaterC'' Data'!$AA$4:$AB$7,2,FALSE)))</f>
        <v>1</v>
      </c>
      <c r="O101" s="60" t="s">
        <v>1127</v>
      </c>
      <c r="P101" s="363">
        <f>IF(O101="","",IF(VLOOKUP(O101,'G-7 WaterC'' Data'!$AD$4:$AE$14,2,FALSE)=0,"Spatial Data Missing ⚠",VLOOKUP(O101,'G-7 WaterC'' Data'!$AD$4:$AE$14,2,FALSE)))</f>
        <v>0.75</v>
      </c>
      <c r="Q101" s="369" t="str">
        <f>IF(D101="","",VLOOKUP(D101,'G-7 WaterC'' Data'!$B$2:$G$8,6,FALSE))</f>
        <v>Same habitat required =</v>
      </c>
      <c r="R101" s="376">
        <f>IFERROR(IF(D101="","",IF(AND(Q101='G-1 All Habitats'!$X$3,U101&gt;0),V101+W101,IF(AND(Q101='G-1 All Habitats'!$X$3,T101&gt;0),V101+W101,IF(AND(Q101='G-1 All Habitats'!$X$3,AD101&gt;0),"Any Loss Unacceptable ⚠",IF(AND(Q101='G-1 All Habitats'!$X$3,AE101&gt;0),"Any Loss Unacceptable ⚠", E101*G101*I101*L101*N101*P101 ))))),"Check Data ▲")</f>
        <v>4.9352073823719089E-4</v>
      </c>
      <c r="S101" s="32"/>
      <c r="T101" s="114">
        <v>0</v>
      </c>
      <c r="U101" s="125">
        <v>1.4304948934411332E-4</v>
      </c>
      <c r="V101" s="374">
        <f t="shared" si="7"/>
        <v>0</v>
      </c>
      <c r="W101" s="374">
        <f t="shared" si="8"/>
        <v>4.9352073823719089E-4</v>
      </c>
      <c r="X101" s="374">
        <f t="shared" si="9"/>
        <v>0</v>
      </c>
      <c r="Y101" s="670">
        <f t="shared" si="10"/>
        <v>0</v>
      </c>
      <c r="Z101" s="706"/>
      <c r="AA101" s="704"/>
      <c r="AB101" s="120"/>
      <c r="AC101" s="120" t="s">
        <v>2093</v>
      </c>
      <c r="AD101" s="57" t="str">
        <f>IF(Q101="","",IF(Q101='G-1 All Habitats'!$X$3,E101-T101-U101,"None"))</f>
        <v>None</v>
      </c>
      <c r="AE101" s="58" t="str">
        <f>IF(Q101="","", IF(Q101='G-1 All Habitats'!$X$3, AD101*G101*I101*L101*N101*P101,"None"))</f>
        <v>None</v>
      </c>
      <c r="AH101" s="30">
        <f t="shared" si="11"/>
        <v>0</v>
      </c>
      <c r="AI101" s="124" t="b">
        <f t="shared" si="12"/>
        <v>0</v>
      </c>
      <c r="AJ101" s="124" t="b">
        <f t="shared" si="13"/>
        <v>1</v>
      </c>
      <c r="AL101" s="124">
        <v>92</v>
      </c>
      <c r="AN101" s="124" t="str">
        <f t="array" ref="AN101">IFERROR(INDEX($AL$10:$AL$258, MATCH(0, IF(TRUE=$AI$10:$AI$258, COUNTIF($AN$9:$AN100, $AL$10:$AL$258), ""), 0)),"")</f>
        <v/>
      </c>
      <c r="AO101" s="124">
        <f t="array" ref="AO101">IFERROR(INDEX($AL$10:$AL$258, MATCH(0, IF(TRUE=$AJ$10:$AJ$258, COUNTIF($AO$9:$AO100, $AL$10:$AL$258), ""), 0)),"")</f>
        <v>98</v>
      </c>
      <c r="AQ101" s="30" t="str">
        <f>IFERROR(INDEX('G-7 WaterC'' Data'!$AZ$3:$AZ$7,MATCH(D101,'G-7 WaterC'' Data'!$AY$3:$AY$7,0)),"")</f>
        <v>Rivercond1</v>
      </c>
      <c r="AR101" s="30" t="str">
        <f>IFERROR(INDEX('G-7 WaterC'' Data'!AZ101:AZ105,MATCH(D101,'G-7 WaterC'' Data'!$AY$10:$AY$14,0)),"")</f>
        <v/>
      </c>
    </row>
    <row r="102" spans="3:44" ht="28.5" x14ac:dyDescent="0.2">
      <c r="C102" s="110">
        <v>93</v>
      </c>
      <c r="D102" s="338" t="s">
        <v>198</v>
      </c>
      <c r="E102" s="139">
        <v>0.28509811743515451</v>
      </c>
      <c r="F102" s="362" t="str">
        <f>IF(D102="","",VLOOKUP(D102,'G-7 WaterC'' Data'!$B$2:$G$8,2,FALSE))</f>
        <v>Medium</v>
      </c>
      <c r="G102" s="363">
        <f>IFERROR(VLOOKUP(F102,'G-7 WaterC'' Data'!$C$4:$D$8,2,FALSE),"")</f>
        <v>4</v>
      </c>
      <c r="H102" s="114" t="s">
        <v>329</v>
      </c>
      <c r="I102" s="363">
        <f>IFERROR(INDEX('G-7 WaterC'' Data'!$H$4:$L$8,MATCH(D102,'G-7 WaterC'' Data'!$B$4:$B$8,0),MATCH(H102,'G-7 WaterC'' Data'!$H$3:$L$3,0)),"")</f>
        <v>1</v>
      </c>
      <c r="J102" s="320" t="s">
        <v>1037</v>
      </c>
      <c r="K102" s="398" t="str">
        <f>IF(J102="","",IF(VLOOKUP(J102,'G-7 WaterC'' Data'!$AK$4:$AM$6,2,FALSE)=0,"Spatial Data Missing ⚠",VLOOKUP(J102,'G-7 WaterC'' Data'!$AK$4:$AM$6,2,FALSE)))</f>
        <v>Low Strategic Significance</v>
      </c>
      <c r="L102" s="368">
        <f>IF(J102="","",IF(VLOOKUP(J102,'G-7 WaterC'' Data'!$AK$4:$AM$9,3,FALSE)=0,"Spatial Data Missing ⚠",VLOOKUP(J102,'G-7 WaterC'' Data'!$AK$4:$AM$6,3,FALSE)))</f>
        <v>1</v>
      </c>
      <c r="M102" s="54" t="s">
        <v>1126</v>
      </c>
      <c r="N102" s="363">
        <f>IF(M102="","",IF(VLOOKUP(M102,'G-7 WaterC'' Data'!$AA$4:$AB$7,2,FALSE)=0,"Spatial Data Missing ⚠",VLOOKUP(M102,'G-7 WaterC'' Data'!$AA$4:$AB$7,2,FALSE)))</f>
        <v>1</v>
      </c>
      <c r="O102" s="60" t="s">
        <v>1127</v>
      </c>
      <c r="P102" s="363">
        <f>IF(O102="","",IF(VLOOKUP(O102,'G-7 WaterC'' Data'!$AD$4:$AE$14,2,FALSE)=0,"Spatial Data Missing ⚠",VLOOKUP(O102,'G-7 WaterC'' Data'!$AD$4:$AE$14,2,FALSE)))</f>
        <v>0.75</v>
      </c>
      <c r="Q102" s="369" t="str">
        <f>IF(D102="","",VLOOKUP(D102,'G-7 WaterC'' Data'!$B$2:$G$8,6,FALSE))</f>
        <v>Same habitat required =</v>
      </c>
      <c r="R102" s="376">
        <f>IFERROR(IF(D102="","",IF(AND(Q102='G-1 All Habitats'!$X$3,U102&gt;0),V102+W102,IF(AND(Q102='G-1 All Habitats'!$X$3,T102&gt;0),V102+W102,IF(AND(Q102='G-1 All Habitats'!$X$3,AD102&gt;0),"Any Loss Unacceptable ⚠",IF(AND(Q102='G-1 All Habitats'!$X$3,AE102&gt;0),"Any Loss Unacceptable ⚠", E102*G102*I102*L102*N102*P102 ))))),"Check Data ▲")</f>
        <v>0.85529435230546347</v>
      </c>
      <c r="S102" s="32"/>
      <c r="T102" s="114">
        <v>0</v>
      </c>
      <c r="U102" s="125">
        <v>0.28509811743515451</v>
      </c>
      <c r="V102" s="374">
        <f t="shared" si="7"/>
        <v>0</v>
      </c>
      <c r="W102" s="374">
        <f t="shared" si="8"/>
        <v>0.85529435230546347</v>
      </c>
      <c r="X102" s="374">
        <f t="shared" si="9"/>
        <v>0</v>
      </c>
      <c r="Y102" s="670">
        <f t="shared" si="10"/>
        <v>0</v>
      </c>
      <c r="Z102" s="706"/>
      <c r="AA102" s="704"/>
      <c r="AB102" s="120"/>
      <c r="AC102" s="120" t="s">
        <v>2094</v>
      </c>
      <c r="AD102" s="57" t="str">
        <f>IF(Q102="","",IF(Q102='G-1 All Habitats'!$X$3,E102-T102-U102,"None"))</f>
        <v>None</v>
      </c>
      <c r="AE102" s="58" t="str">
        <f>IF(Q102="","", IF(Q102='G-1 All Habitats'!$X$3, AD102*G102*I102*L102*N102*P102,"None"))</f>
        <v>None</v>
      </c>
      <c r="AH102" s="30">
        <f t="shared" si="11"/>
        <v>0</v>
      </c>
      <c r="AI102" s="124" t="b">
        <f t="shared" si="12"/>
        <v>0</v>
      </c>
      <c r="AJ102" s="124" t="b">
        <f t="shared" si="13"/>
        <v>1</v>
      </c>
      <c r="AL102" s="124">
        <v>93</v>
      </c>
      <c r="AN102" s="124" t="str">
        <f t="array" ref="AN102">IFERROR(INDEX($AL$10:$AL$258, MATCH(0, IF(TRUE=$AI$10:$AI$258, COUNTIF($AN$9:$AN101, $AL$10:$AL$258), ""), 0)),"")</f>
        <v/>
      </c>
      <c r="AO102" s="124">
        <f t="array" ref="AO102">IFERROR(INDEX($AL$10:$AL$258, MATCH(0, IF(TRUE=$AJ$10:$AJ$258, COUNTIF($AO$9:$AO101, $AL$10:$AL$258), ""), 0)),"")</f>
        <v>99</v>
      </c>
      <c r="AQ102" s="30" t="str">
        <f>IFERROR(INDEX('G-7 WaterC'' Data'!$AZ$3:$AZ$7,MATCH(D102,'G-7 WaterC'' Data'!$AY$3:$AY$7,0)),"")</f>
        <v>Rivercond1</v>
      </c>
      <c r="AR102" s="30" t="str">
        <f>IFERROR(INDEX('G-7 WaterC'' Data'!AZ102:AZ106,MATCH(D102,'G-7 WaterC'' Data'!$AY$10:$AY$14,0)),"")</f>
        <v/>
      </c>
    </row>
    <row r="103" spans="3:44" ht="28.5" x14ac:dyDescent="0.2">
      <c r="C103" s="110">
        <v>94</v>
      </c>
      <c r="D103" s="338" t="s">
        <v>198</v>
      </c>
      <c r="E103" s="139">
        <v>6.5675497045886946E-2</v>
      </c>
      <c r="F103" s="362" t="str">
        <f>IF(D103="","",VLOOKUP(D103,'G-7 WaterC'' Data'!$B$2:$G$8,2,FALSE))</f>
        <v>Medium</v>
      </c>
      <c r="G103" s="363">
        <f>IFERROR(VLOOKUP(F103,'G-7 WaterC'' Data'!$C$4:$D$8,2,FALSE),"")</f>
        <v>4</v>
      </c>
      <c r="H103" s="114" t="s">
        <v>329</v>
      </c>
      <c r="I103" s="363">
        <f>IFERROR(INDEX('G-7 WaterC'' Data'!$H$4:$L$8,MATCH(D103,'G-7 WaterC'' Data'!$B$4:$B$8,0),MATCH(H103,'G-7 WaterC'' Data'!$H$3:$L$3,0)),"")</f>
        <v>1</v>
      </c>
      <c r="J103" s="320" t="s">
        <v>1029</v>
      </c>
      <c r="K103" s="398" t="str">
        <f>IF(J103="","",IF(VLOOKUP(J103,'G-7 WaterC'' Data'!$AK$4:$AM$6,2,FALSE)=0,"Spatial Data Missing ⚠",VLOOKUP(J103,'G-7 WaterC'' Data'!$AK$4:$AM$6,2,FALSE)))</f>
        <v xml:space="preserve">High strategic significance </v>
      </c>
      <c r="L103" s="368">
        <f>IF(J103="","",IF(VLOOKUP(J103,'G-7 WaterC'' Data'!$AK$4:$AM$9,3,FALSE)=0,"Spatial Data Missing ⚠",VLOOKUP(J103,'G-7 WaterC'' Data'!$AK$4:$AM$6,3,FALSE)))</f>
        <v>1.1499999999999999</v>
      </c>
      <c r="M103" s="54" t="s">
        <v>1126</v>
      </c>
      <c r="N103" s="363">
        <f>IF(M103="","",IF(VLOOKUP(M103,'G-7 WaterC'' Data'!$AA$4:$AB$7,2,FALSE)=0,"Spatial Data Missing ⚠",VLOOKUP(M103,'G-7 WaterC'' Data'!$AA$4:$AB$7,2,FALSE)))</f>
        <v>1</v>
      </c>
      <c r="O103" s="60" t="s">
        <v>1127</v>
      </c>
      <c r="P103" s="363">
        <f>IF(O103="","",IF(VLOOKUP(O103,'G-7 WaterC'' Data'!$AD$4:$AE$14,2,FALSE)=0,"Spatial Data Missing ⚠",VLOOKUP(O103,'G-7 WaterC'' Data'!$AD$4:$AE$14,2,FALSE)))</f>
        <v>0.75</v>
      </c>
      <c r="Q103" s="369" t="str">
        <f>IF(D103="","",VLOOKUP(D103,'G-7 WaterC'' Data'!$B$2:$G$8,6,FALSE))</f>
        <v>Same habitat required =</v>
      </c>
      <c r="R103" s="376">
        <f>IFERROR(IF(D103="","",IF(AND(Q103='G-1 All Habitats'!$X$3,U103&gt;0),V103+W103,IF(AND(Q103='G-1 All Habitats'!$X$3,T103&gt;0),V103+W103,IF(AND(Q103='G-1 All Habitats'!$X$3,AD103&gt;0),"Any Loss Unacceptable ⚠",IF(AND(Q103='G-1 All Habitats'!$X$3,AE103&gt;0),"Any Loss Unacceptable ⚠", E103*G103*I103*L103*N103*P103 ))))),"Check Data ▲")</f>
        <v>0.22658046480830996</v>
      </c>
      <c r="S103" s="32"/>
      <c r="T103" s="114">
        <v>0</v>
      </c>
      <c r="U103" s="125">
        <v>6.5675497045886946E-2</v>
      </c>
      <c r="V103" s="374">
        <f t="shared" si="7"/>
        <v>0</v>
      </c>
      <c r="W103" s="374">
        <f t="shared" si="8"/>
        <v>0.22658046480830996</v>
      </c>
      <c r="X103" s="374">
        <f t="shared" si="9"/>
        <v>0</v>
      </c>
      <c r="Y103" s="670">
        <f t="shared" si="10"/>
        <v>0</v>
      </c>
      <c r="Z103" s="706"/>
      <c r="AA103" s="704"/>
      <c r="AB103" s="120"/>
      <c r="AC103" s="120" t="s">
        <v>2095</v>
      </c>
      <c r="AD103" s="57" t="str">
        <f>IF(Q103="","",IF(Q103='G-1 All Habitats'!$X$3,E103-T103-U103,"None"))</f>
        <v>None</v>
      </c>
      <c r="AE103" s="58" t="str">
        <f>IF(Q103="","", IF(Q103='G-1 All Habitats'!$X$3, AD103*G103*I103*L103*N103*P103,"None"))</f>
        <v>None</v>
      </c>
      <c r="AH103" s="30">
        <f t="shared" si="11"/>
        <v>0</v>
      </c>
      <c r="AI103" s="124" t="b">
        <f t="shared" si="12"/>
        <v>0</v>
      </c>
      <c r="AJ103" s="124" t="b">
        <f t="shared" si="13"/>
        <v>1</v>
      </c>
      <c r="AL103" s="124">
        <v>94</v>
      </c>
      <c r="AN103" s="124" t="str">
        <f t="array" ref="AN103">IFERROR(INDEX($AL$10:$AL$258, MATCH(0, IF(TRUE=$AI$10:$AI$258, COUNTIF($AN$9:$AN102, $AL$10:$AL$258), ""), 0)),"")</f>
        <v/>
      </c>
      <c r="AO103" s="124">
        <f t="array" ref="AO103">IFERROR(INDEX($AL$10:$AL$258, MATCH(0, IF(TRUE=$AJ$10:$AJ$258, COUNTIF($AO$9:$AO102, $AL$10:$AL$258), ""), 0)),"")</f>
        <v>100</v>
      </c>
      <c r="AQ103" s="30" t="str">
        <f>IFERROR(INDEX('G-7 WaterC'' Data'!$AZ$3:$AZ$7,MATCH(D103,'G-7 WaterC'' Data'!$AY$3:$AY$7,0)),"")</f>
        <v>Rivercond1</v>
      </c>
      <c r="AR103" s="30" t="str">
        <f>IFERROR(INDEX('G-7 WaterC'' Data'!AZ103:AZ107,MATCH(D103,'G-7 WaterC'' Data'!$AY$10:$AY$14,0)),"")</f>
        <v/>
      </c>
    </row>
    <row r="104" spans="3:44" ht="28.5" x14ac:dyDescent="0.2">
      <c r="C104" s="110">
        <v>95</v>
      </c>
      <c r="D104" s="338" t="s">
        <v>198</v>
      </c>
      <c r="E104" s="139">
        <v>0.15656564021280947</v>
      </c>
      <c r="F104" s="362" t="str">
        <f>IF(D104="","",VLOOKUP(D104,'G-7 WaterC'' Data'!$B$2:$G$8,2,FALSE))</f>
        <v>Medium</v>
      </c>
      <c r="G104" s="363">
        <f>IFERROR(VLOOKUP(F104,'G-7 WaterC'' Data'!$C$4:$D$8,2,FALSE),"")</f>
        <v>4</v>
      </c>
      <c r="H104" s="114" t="s">
        <v>329</v>
      </c>
      <c r="I104" s="363">
        <f>IFERROR(INDEX('G-7 WaterC'' Data'!$H$4:$L$8,MATCH(D104,'G-7 WaterC'' Data'!$B$4:$B$8,0),MATCH(H104,'G-7 WaterC'' Data'!$H$3:$L$3,0)),"")</f>
        <v>1</v>
      </c>
      <c r="J104" s="320" t="s">
        <v>1029</v>
      </c>
      <c r="K104" s="398" t="str">
        <f>IF(J104="","",IF(VLOOKUP(J104,'G-7 WaterC'' Data'!$AK$4:$AM$6,2,FALSE)=0,"Spatial Data Missing ⚠",VLOOKUP(J104,'G-7 WaterC'' Data'!$AK$4:$AM$6,2,FALSE)))</f>
        <v xml:space="preserve">High strategic significance </v>
      </c>
      <c r="L104" s="368">
        <f>IF(J104="","",IF(VLOOKUP(J104,'G-7 WaterC'' Data'!$AK$4:$AM$9,3,FALSE)=0,"Spatial Data Missing ⚠",VLOOKUP(J104,'G-7 WaterC'' Data'!$AK$4:$AM$6,3,FALSE)))</f>
        <v>1.1499999999999999</v>
      </c>
      <c r="M104" s="54" t="s">
        <v>1126</v>
      </c>
      <c r="N104" s="363">
        <f>IF(M104="","",IF(VLOOKUP(M104,'G-7 WaterC'' Data'!$AA$4:$AB$7,2,FALSE)=0,"Spatial Data Missing ⚠",VLOOKUP(M104,'G-7 WaterC'' Data'!$AA$4:$AB$7,2,FALSE)))</f>
        <v>1</v>
      </c>
      <c r="O104" s="60" t="s">
        <v>1127</v>
      </c>
      <c r="P104" s="363">
        <f>IF(O104="","",IF(VLOOKUP(O104,'G-7 WaterC'' Data'!$AD$4:$AE$14,2,FALSE)=0,"Spatial Data Missing ⚠",VLOOKUP(O104,'G-7 WaterC'' Data'!$AD$4:$AE$14,2,FALSE)))</f>
        <v>0.75</v>
      </c>
      <c r="Q104" s="369" t="str">
        <f>IF(D104="","",VLOOKUP(D104,'G-7 WaterC'' Data'!$B$2:$G$8,6,FALSE))</f>
        <v>Same habitat required =</v>
      </c>
      <c r="R104" s="376">
        <f>IFERROR(IF(D104="","",IF(AND(Q104='G-1 All Habitats'!$X$3,U104&gt;0),V104+W104,IF(AND(Q104='G-1 All Habitats'!$X$3,T104&gt;0),V104+W104,IF(AND(Q104='G-1 All Habitats'!$X$3,AD104&gt;0),"Any Loss Unacceptable ⚠",IF(AND(Q104='G-1 All Habitats'!$X$3,AE104&gt;0),"Any Loss Unacceptable ⚠", E104*G104*I104*L104*N104*P104 ))))),"Check Data ▲")</f>
        <v>0.54015145873419268</v>
      </c>
      <c r="S104" s="32"/>
      <c r="T104" s="114">
        <v>0</v>
      </c>
      <c r="U104" s="125">
        <v>0.15656564021280947</v>
      </c>
      <c r="V104" s="374">
        <f t="shared" si="7"/>
        <v>0</v>
      </c>
      <c r="W104" s="374">
        <f t="shared" si="8"/>
        <v>0.54015145873419268</v>
      </c>
      <c r="X104" s="374">
        <f t="shared" si="9"/>
        <v>0</v>
      </c>
      <c r="Y104" s="670">
        <f t="shared" si="10"/>
        <v>0</v>
      </c>
      <c r="Z104" s="706"/>
      <c r="AA104" s="704"/>
      <c r="AB104" s="120"/>
      <c r="AC104" s="120" t="s">
        <v>2096</v>
      </c>
      <c r="AD104" s="57" t="str">
        <f>IF(Q104="","",IF(Q104='G-1 All Habitats'!$X$3,E104-T104-U104,"None"))</f>
        <v>None</v>
      </c>
      <c r="AE104" s="58" t="str">
        <f>IF(Q104="","", IF(Q104='G-1 All Habitats'!$X$3, AD104*G104*I104*L104*N104*P104,"None"))</f>
        <v>None</v>
      </c>
      <c r="AH104" s="30">
        <f t="shared" si="11"/>
        <v>0</v>
      </c>
      <c r="AI104" s="124" t="b">
        <f t="shared" si="12"/>
        <v>0</v>
      </c>
      <c r="AJ104" s="124" t="b">
        <f t="shared" si="13"/>
        <v>1</v>
      </c>
      <c r="AL104" s="124">
        <v>95</v>
      </c>
      <c r="AN104" s="124" t="str">
        <f t="array" ref="AN104">IFERROR(INDEX($AL$10:$AL$258, MATCH(0, IF(TRUE=$AI$10:$AI$258, COUNTIF($AN$9:$AN103, $AL$10:$AL$258), ""), 0)),"")</f>
        <v/>
      </c>
      <c r="AO104" s="124">
        <f t="array" ref="AO104">IFERROR(INDEX($AL$10:$AL$258, MATCH(0, IF(TRUE=$AJ$10:$AJ$258, COUNTIF($AO$9:$AO103, $AL$10:$AL$258), ""), 0)),"")</f>
        <v>101</v>
      </c>
      <c r="AQ104" s="30" t="str">
        <f>IFERROR(INDEX('G-7 WaterC'' Data'!$AZ$3:$AZ$7,MATCH(D104,'G-7 WaterC'' Data'!$AY$3:$AY$7,0)),"")</f>
        <v>Rivercond1</v>
      </c>
      <c r="AR104" s="30" t="str">
        <f>IFERROR(INDEX('G-7 WaterC'' Data'!AZ104:AZ108,MATCH(D104,'G-7 WaterC'' Data'!$AY$10:$AY$14,0)),"")</f>
        <v/>
      </c>
    </row>
    <row r="105" spans="3:44" ht="28.5" x14ac:dyDescent="0.2">
      <c r="C105" s="110">
        <v>96</v>
      </c>
      <c r="D105" s="338" t="s">
        <v>198</v>
      </c>
      <c r="E105" s="139">
        <v>0.2435552326153772</v>
      </c>
      <c r="F105" s="362" t="str">
        <f>IF(D105="","",VLOOKUP(D105,'G-7 WaterC'' Data'!$B$2:$G$8,2,FALSE))</f>
        <v>Medium</v>
      </c>
      <c r="G105" s="363">
        <f>IFERROR(VLOOKUP(F105,'G-7 WaterC'' Data'!$C$4:$D$8,2,FALSE),"")</f>
        <v>4</v>
      </c>
      <c r="H105" s="114" t="s">
        <v>329</v>
      </c>
      <c r="I105" s="363">
        <f>IFERROR(INDEX('G-7 WaterC'' Data'!$H$4:$L$8,MATCH(D105,'G-7 WaterC'' Data'!$B$4:$B$8,0),MATCH(H105,'G-7 WaterC'' Data'!$H$3:$L$3,0)),"")</f>
        <v>1</v>
      </c>
      <c r="J105" s="320" t="s">
        <v>1037</v>
      </c>
      <c r="K105" s="398" t="str">
        <f>IF(J105="","",IF(VLOOKUP(J105,'G-7 WaterC'' Data'!$AK$4:$AM$6,2,FALSE)=0,"Spatial Data Missing ⚠",VLOOKUP(J105,'G-7 WaterC'' Data'!$AK$4:$AM$6,2,FALSE)))</f>
        <v>Low Strategic Significance</v>
      </c>
      <c r="L105" s="368">
        <f>IF(J105="","",IF(VLOOKUP(J105,'G-7 WaterC'' Data'!$AK$4:$AM$9,3,FALSE)=0,"Spatial Data Missing ⚠",VLOOKUP(J105,'G-7 WaterC'' Data'!$AK$4:$AM$6,3,FALSE)))</f>
        <v>1</v>
      </c>
      <c r="M105" s="54" t="s">
        <v>1126</v>
      </c>
      <c r="N105" s="363">
        <f>IF(M105="","",IF(VLOOKUP(M105,'G-7 WaterC'' Data'!$AA$4:$AB$7,2,FALSE)=0,"Spatial Data Missing ⚠",VLOOKUP(M105,'G-7 WaterC'' Data'!$AA$4:$AB$7,2,FALSE)))</f>
        <v>1</v>
      </c>
      <c r="O105" s="60" t="s">
        <v>1127</v>
      </c>
      <c r="P105" s="363">
        <f>IF(O105="","",IF(VLOOKUP(O105,'G-7 WaterC'' Data'!$AD$4:$AE$14,2,FALSE)=0,"Spatial Data Missing ⚠",VLOOKUP(O105,'G-7 WaterC'' Data'!$AD$4:$AE$14,2,FALSE)))</f>
        <v>0.75</v>
      </c>
      <c r="Q105" s="369" t="str">
        <f>IF(D105="","",VLOOKUP(D105,'G-7 WaterC'' Data'!$B$2:$G$8,6,FALSE))</f>
        <v>Same habitat required =</v>
      </c>
      <c r="R105" s="376">
        <f>IFERROR(IF(D105="","",IF(AND(Q105='G-1 All Habitats'!$X$3,U105&gt;0),V105+W105,IF(AND(Q105='G-1 All Habitats'!$X$3,T105&gt;0),V105+W105,IF(AND(Q105='G-1 All Habitats'!$X$3,AD105&gt;0),"Any Loss Unacceptable ⚠",IF(AND(Q105='G-1 All Habitats'!$X$3,AE105&gt;0),"Any Loss Unacceptable ⚠", E105*G105*I105*L105*N105*P105 ))))),"Check Data ▲")</f>
        <v>0.73066569784613167</v>
      </c>
      <c r="S105" s="32"/>
      <c r="T105" s="114">
        <v>0</v>
      </c>
      <c r="U105" s="125">
        <v>0.2435552326153772</v>
      </c>
      <c r="V105" s="374">
        <f t="shared" si="7"/>
        <v>0</v>
      </c>
      <c r="W105" s="374">
        <f t="shared" si="8"/>
        <v>0.73066569784613167</v>
      </c>
      <c r="X105" s="374">
        <f t="shared" si="9"/>
        <v>0</v>
      </c>
      <c r="Y105" s="670">
        <f t="shared" si="10"/>
        <v>0</v>
      </c>
      <c r="Z105" s="706"/>
      <c r="AA105" s="704"/>
      <c r="AB105" s="120"/>
      <c r="AC105" s="120" t="s">
        <v>2097</v>
      </c>
      <c r="AD105" s="57" t="str">
        <f>IF(Q105="","",IF(Q105='G-1 All Habitats'!$X$3,E105-T105-U105,"None"))</f>
        <v>None</v>
      </c>
      <c r="AE105" s="58" t="str">
        <f>IF(Q105="","", IF(Q105='G-1 All Habitats'!$X$3, AD105*G105*I105*L105*N105*P105,"None"))</f>
        <v>None</v>
      </c>
      <c r="AH105" s="30">
        <f t="shared" si="11"/>
        <v>0</v>
      </c>
      <c r="AI105" s="124" t="b">
        <f t="shared" si="12"/>
        <v>0</v>
      </c>
      <c r="AJ105" s="124" t="b">
        <f t="shared" si="13"/>
        <v>1</v>
      </c>
      <c r="AL105" s="124">
        <v>96</v>
      </c>
      <c r="AN105" s="124" t="str">
        <f t="array" ref="AN105">IFERROR(INDEX($AL$10:$AL$258, MATCH(0, IF(TRUE=$AI$10:$AI$258, COUNTIF($AN$9:$AN104, $AL$10:$AL$258), ""), 0)),"")</f>
        <v/>
      </c>
      <c r="AO105" s="124">
        <f t="array" ref="AO105">IFERROR(INDEX($AL$10:$AL$258, MATCH(0, IF(TRUE=$AJ$10:$AJ$258, COUNTIF($AO$9:$AO104, $AL$10:$AL$258), ""), 0)),"")</f>
        <v>102</v>
      </c>
      <c r="AQ105" s="30" t="str">
        <f>IFERROR(INDEX('G-7 WaterC'' Data'!$AZ$3:$AZ$7,MATCH(D105,'G-7 WaterC'' Data'!$AY$3:$AY$7,0)),"")</f>
        <v>Rivercond1</v>
      </c>
      <c r="AR105" s="30" t="str">
        <f>IFERROR(INDEX('G-7 WaterC'' Data'!AZ105:AZ109,MATCH(D105,'G-7 WaterC'' Data'!$AY$10:$AY$14,0)),"")</f>
        <v/>
      </c>
    </row>
    <row r="106" spans="3:44" ht="28.5" x14ac:dyDescent="0.2">
      <c r="C106" s="110">
        <v>97</v>
      </c>
      <c r="D106" s="338" t="s">
        <v>198</v>
      </c>
      <c r="E106" s="139">
        <v>0.36806693921812556</v>
      </c>
      <c r="F106" s="362" t="str">
        <f>IF(D106="","",VLOOKUP(D106,'G-7 WaterC'' Data'!$B$2:$G$8,2,FALSE))</f>
        <v>Medium</v>
      </c>
      <c r="G106" s="363">
        <f>IFERROR(VLOOKUP(F106,'G-7 WaterC'' Data'!$C$4:$D$8,2,FALSE),"")</f>
        <v>4</v>
      </c>
      <c r="H106" s="114" t="s">
        <v>329</v>
      </c>
      <c r="I106" s="363">
        <f>IFERROR(INDEX('G-7 WaterC'' Data'!$H$4:$L$8,MATCH(D106,'G-7 WaterC'' Data'!$B$4:$B$8,0),MATCH(H106,'G-7 WaterC'' Data'!$H$3:$L$3,0)),"")</f>
        <v>1</v>
      </c>
      <c r="J106" s="320" t="s">
        <v>1037</v>
      </c>
      <c r="K106" s="398" t="str">
        <f>IF(J106="","",IF(VLOOKUP(J106,'G-7 WaterC'' Data'!$AK$4:$AM$6,2,FALSE)=0,"Spatial Data Missing ⚠",VLOOKUP(J106,'G-7 WaterC'' Data'!$AK$4:$AM$6,2,FALSE)))</f>
        <v>Low Strategic Significance</v>
      </c>
      <c r="L106" s="368">
        <f>IF(J106="","",IF(VLOOKUP(J106,'G-7 WaterC'' Data'!$AK$4:$AM$9,3,FALSE)=0,"Spatial Data Missing ⚠",VLOOKUP(J106,'G-7 WaterC'' Data'!$AK$4:$AM$6,3,FALSE)))</f>
        <v>1</v>
      </c>
      <c r="M106" s="54" t="s">
        <v>1126</v>
      </c>
      <c r="N106" s="363">
        <f>IF(M106="","",IF(VLOOKUP(M106,'G-7 WaterC'' Data'!$AA$4:$AB$7,2,FALSE)=0,"Spatial Data Missing ⚠",VLOOKUP(M106,'G-7 WaterC'' Data'!$AA$4:$AB$7,2,FALSE)))</f>
        <v>1</v>
      </c>
      <c r="O106" s="60" t="s">
        <v>1127</v>
      </c>
      <c r="P106" s="363">
        <f>IF(O106="","",IF(VLOOKUP(O106,'G-7 WaterC'' Data'!$AD$4:$AE$14,2,FALSE)=0,"Spatial Data Missing ⚠",VLOOKUP(O106,'G-7 WaterC'' Data'!$AD$4:$AE$14,2,FALSE)))</f>
        <v>0.75</v>
      </c>
      <c r="Q106" s="369" t="str">
        <f>IF(D106="","",VLOOKUP(D106,'G-7 WaterC'' Data'!$B$2:$G$8,6,FALSE))</f>
        <v>Same habitat required =</v>
      </c>
      <c r="R106" s="376">
        <f>IFERROR(IF(D106="","",IF(AND(Q106='G-1 All Habitats'!$X$3,U106&gt;0),V106+W106,IF(AND(Q106='G-1 All Habitats'!$X$3,T106&gt;0),V106+W106,IF(AND(Q106='G-1 All Habitats'!$X$3,AD106&gt;0),"Any Loss Unacceptable ⚠",IF(AND(Q106='G-1 All Habitats'!$X$3,AE106&gt;0),"Any Loss Unacceptable ⚠", E106*G106*I106*L106*N106*P106 ))))),"Check Data ▲")</f>
        <v>1.1042008176543767</v>
      </c>
      <c r="S106" s="32"/>
      <c r="T106" s="114">
        <v>0</v>
      </c>
      <c r="U106" s="125">
        <v>0.36806693921812556</v>
      </c>
      <c r="V106" s="374">
        <f t="shared" si="7"/>
        <v>0</v>
      </c>
      <c r="W106" s="374">
        <f t="shared" si="8"/>
        <v>1.1042008176543767</v>
      </c>
      <c r="X106" s="374">
        <f t="shared" si="9"/>
        <v>0</v>
      </c>
      <c r="Y106" s="670">
        <f t="shared" si="10"/>
        <v>0</v>
      </c>
      <c r="Z106" s="706"/>
      <c r="AA106" s="704"/>
      <c r="AB106" s="120"/>
      <c r="AC106" s="120" t="s">
        <v>2098</v>
      </c>
      <c r="AD106" s="57" t="str">
        <f>IF(Q106="","",IF(Q106='G-1 All Habitats'!$X$3,E106-T106-U106,"None"))</f>
        <v>None</v>
      </c>
      <c r="AE106" s="58" t="str">
        <f>IF(Q106="","", IF(Q106='G-1 All Habitats'!$X$3, AD106*G106*I106*L106*N106*P106,"None"))</f>
        <v>None</v>
      </c>
      <c r="AH106" s="30">
        <f t="shared" si="11"/>
        <v>0</v>
      </c>
      <c r="AI106" s="124" t="b">
        <f t="shared" si="12"/>
        <v>0</v>
      </c>
      <c r="AJ106" s="124" t="b">
        <f t="shared" si="13"/>
        <v>1</v>
      </c>
      <c r="AL106" s="124">
        <v>97</v>
      </c>
      <c r="AN106" s="124" t="str">
        <f t="array" ref="AN106">IFERROR(INDEX($AL$10:$AL$258, MATCH(0, IF(TRUE=$AI$10:$AI$258, COUNTIF($AN$9:$AN105, $AL$10:$AL$258), ""), 0)),"")</f>
        <v/>
      </c>
      <c r="AO106" s="124">
        <f t="array" ref="AO106">IFERROR(INDEX($AL$10:$AL$258, MATCH(0, IF(TRUE=$AJ$10:$AJ$258, COUNTIF($AO$9:$AO105, $AL$10:$AL$258), ""), 0)),"")</f>
        <v>103</v>
      </c>
      <c r="AQ106" s="30" t="str">
        <f>IFERROR(INDEX('G-7 WaterC'' Data'!$AZ$3:$AZ$7,MATCH(D106,'G-7 WaterC'' Data'!$AY$3:$AY$7,0)),"")</f>
        <v>Rivercond1</v>
      </c>
      <c r="AR106" s="30" t="str">
        <f>IFERROR(INDEX('G-7 WaterC'' Data'!AZ106:AZ110,MATCH(D106,'G-7 WaterC'' Data'!$AY$10:$AY$14,0)),"")</f>
        <v/>
      </c>
    </row>
    <row r="107" spans="3:44" ht="28.5" x14ac:dyDescent="0.2">
      <c r="C107" s="110">
        <v>98</v>
      </c>
      <c r="D107" s="338" t="s">
        <v>198</v>
      </c>
      <c r="E107" s="139">
        <v>0.61487744484496176</v>
      </c>
      <c r="F107" s="362" t="str">
        <f>IF(D107="","",VLOOKUP(D107,'G-7 WaterC'' Data'!$B$2:$G$8,2,FALSE))</f>
        <v>Medium</v>
      </c>
      <c r="G107" s="363">
        <f>IFERROR(VLOOKUP(F107,'G-7 WaterC'' Data'!$C$4:$D$8,2,FALSE),"")</f>
        <v>4</v>
      </c>
      <c r="H107" s="114" t="s">
        <v>329</v>
      </c>
      <c r="I107" s="363">
        <f>IFERROR(INDEX('G-7 WaterC'' Data'!$H$4:$L$8,MATCH(D107,'G-7 WaterC'' Data'!$B$4:$B$8,0),MATCH(H107,'G-7 WaterC'' Data'!$H$3:$L$3,0)),"")</f>
        <v>1</v>
      </c>
      <c r="J107" s="320" t="s">
        <v>1037</v>
      </c>
      <c r="K107" s="398" t="str">
        <f>IF(J107="","",IF(VLOOKUP(J107,'G-7 WaterC'' Data'!$AK$4:$AM$6,2,FALSE)=0,"Spatial Data Missing ⚠",VLOOKUP(J107,'G-7 WaterC'' Data'!$AK$4:$AM$6,2,FALSE)))</f>
        <v>Low Strategic Significance</v>
      </c>
      <c r="L107" s="368">
        <f>IF(J107="","",IF(VLOOKUP(J107,'G-7 WaterC'' Data'!$AK$4:$AM$9,3,FALSE)=0,"Spatial Data Missing ⚠",VLOOKUP(J107,'G-7 WaterC'' Data'!$AK$4:$AM$6,3,FALSE)))</f>
        <v>1</v>
      </c>
      <c r="M107" s="54" t="s">
        <v>1126</v>
      </c>
      <c r="N107" s="363">
        <f>IF(M107="","",IF(VLOOKUP(M107,'G-7 WaterC'' Data'!$AA$4:$AB$7,2,FALSE)=0,"Spatial Data Missing ⚠",VLOOKUP(M107,'G-7 WaterC'' Data'!$AA$4:$AB$7,2,FALSE)))</f>
        <v>1</v>
      </c>
      <c r="O107" s="60" t="s">
        <v>1127</v>
      </c>
      <c r="P107" s="363">
        <f>IF(O107="","",IF(VLOOKUP(O107,'G-7 WaterC'' Data'!$AD$4:$AE$14,2,FALSE)=0,"Spatial Data Missing ⚠",VLOOKUP(O107,'G-7 WaterC'' Data'!$AD$4:$AE$14,2,FALSE)))</f>
        <v>0.75</v>
      </c>
      <c r="Q107" s="369" t="str">
        <f>IF(D107="","",VLOOKUP(D107,'G-7 WaterC'' Data'!$B$2:$G$8,6,FALSE))</f>
        <v>Same habitat required =</v>
      </c>
      <c r="R107" s="376">
        <f>IFERROR(IF(D107="","",IF(AND(Q107='G-1 All Habitats'!$X$3,U107&gt;0),V107+W107,IF(AND(Q107='G-1 All Habitats'!$X$3,T107&gt;0),V107+W107,IF(AND(Q107='G-1 All Habitats'!$X$3,AD107&gt;0),"Any Loss Unacceptable ⚠",IF(AND(Q107='G-1 All Habitats'!$X$3,AE107&gt;0),"Any Loss Unacceptable ⚠", E107*G107*I107*L107*N107*P107 ))))),"Check Data ▲")</f>
        <v>1.8446323345348854</v>
      </c>
      <c r="S107" s="32"/>
      <c r="T107" s="114">
        <v>0</v>
      </c>
      <c r="U107" s="125">
        <v>0.61487744484496176</v>
      </c>
      <c r="V107" s="374">
        <f t="shared" si="7"/>
        <v>0</v>
      </c>
      <c r="W107" s="374">
        <f t="shared" si="8"/>
        <v>1.8446323345348854</v>
      </c>
      <c r="X107" s="374">
        <f t="shared" si="9"/>
        <v>0</v>
      </c>
      <c r="Y107" s="670">
        <f t="shared" si="10"/>
        <v>0</v>
      </c>
      <c r="Z107" s="706"/>
      <c r="AA107" s="704"/>
      <c r="AB107" s="120"/>
      <c r="AC107" s="120" t="s">
        <v>2099</v>
      </c>
      <c r="AD107" s="57" t="str">
        <f>IF(Q107="","",IF(Q107='G-1 All Habitats'!$X$3,E107-T107-U107,"None"))</f>
        <v>None</v>
      </c>
      <c r="AE107" s="58" t="str">
        <f>IF(Q107="","", IF(Q107='G-1 All Habitats'!$X$3, AD107*G107*I107*L107*N107*P107,"None"))</f>
        <v>None</v>
      </c>
      <c r="AH107" s="30">
        <f t="shared" si="11"/>
        <v>0</v>
      </c>
      <c r="AI107" s="124" t="b">
        <f t="shared" si="12"/>
        <v>0</v>
      </c>
      <c r="AJ107" s="124" t="b">
        <f t="shared" si="13"/>
        <v>1</v>
      </c>
      <c r="AL107" s="124">
        <v>98</v>
      </c>
      <c r="AN107" s="124" t="str">
        <f t="array" ref="AN107">IFERROR(INDEX($AL$10:$AL$258, MATCH(0, IF(TRUE=$AI$10:$AI$258, COUNTIF($AN$9:$AN106, $AL$10:$AL$258), ""), 0)),"")</f>
        <v/>
      </c>
      <c r="AO107" s="124">
        <f t="array" ref="AO107">IFERROR(INDEX($AL$10:$AL$258, MATCH(0, IF(TRUE=$AJ$10:$AJ$258, COUNTIF($AO$9:$AO106, $AL$10:$AL$258), ""), 0)),"")</f>
        <v>104</v>
      </c>
      <c r="AQ107" s="30" t="str">
        <f>IFERROR(INDEX('G-7 WaterC'' Data'!$AZ$3:$AZ$7,MATCH(D107,'G-7 WaterC'' Data'!$AY$3:$AY$7,0)),"")</f>
        <v>Rivercond1</v>
      </c>
      <c r="AR107" s="30" t="str">
        <f>IFERROR(INDEX('G-7 WaterC'' Data'!AZ107:AZ111,MATCH(D107,'G-7 WaterC'' Data'!$AY$10:$AY$14,0)),"")</f>
        <v/>
      </c>
    </row>
    <row r="108" spans="3:44" ht="28.5" x14ac:dyDescent="0.2">
      <c r="C108" s="110">
        <v>99</v>
      </c>
      <c r="D108" s="338" t="s">
        <v>198</v>
      </c>
      <c r="E108" s="139">
        <v>0.69268763033653413</v>
      </c>
      <c r="F108" s="362" t="str">
        <f>IF(D108="","",VLOOKUP(D108,'G-7 WaterC'' Data'!$B$2:$G$8,2,FALSE))</f>
        <v>Medium</v>
      </c>
      <c r="G108" s="363">
        <f>IFERROR(VLOOKUP(F108,'G-7 WaterC'' Data'!$C$4:$D$8,2,FALSE),"")</f>
        <v>4</v>
      </c>
      <c r="H108" s="114" t="s">
        <v>329</v>
      </c>
      <c r="I108" s="363">
        <f>IFERROR(INDEX('G-7 WaterC'' Data'!$H$4:$L$8,MATCH(D108,'G-7 WaterC'' Data'!$B$4:$B$8,0),MATCH(H108,'G-7 WaterC'' Data'!$H$3:$L$3,0)),"")</f>
        <v>1</v>
      </c>
      <c r="J108" s="320" t="s">
        <v>1037</v>
      </c>
      <c r="K108" s="398" t="str">
        <f>IF(J108="","",IF(VLOOKUP(J108,'G-7 WaterC'' Data'!$AK$4:$AM$6,2,FALSE)=0,"Spatial Data Missing ⚠",VLOOKUP(J108,'G-7 WaterC'' Data'!$AK$4:$AM$6,2,FALSE)))</f>
        <v>Low Strategic Significance</v>
      </c>
      <c r="L108" s="368">
        <f>IF(J108="","",IF(VLOOKUP(J108,'G-7 WaterC'' Data'!$AK$4:$AM$9,3,FALSE)=0,"Spatial Data Missing ⚠",VLOOKUP(J108,'G-7 WaterC'' Data'!$AK$4:$AM$6,3,FALSE)))</f>
        <v>1</v>
      </c>
      <c r="M108" s="54" t="s">
        <v>1126</v>
      </c>
      <c r="N108" s="363">
        <f>IF(M108="","",IF(VLOOKUP(M108,'G-7 WaterC'' Data'!$AA$4:$AB$7,2,FALSE)=0,"Spatial Data Missing ⚠",VLOOKUP(M108,'G-7 WaterC'' Data'!$AA$4:$AB$7,2,FALSE)))</f>
        <v>1</v>
      </c>
      <c r="O108" s="60" t="s">
        <v>1127</v>
      </c>
      <c r="P108" s="363">
        <f>IF(O108="","",IF(VLOOKUP(O108,'G-7 WaterC'' Data'!$AD$4:$AE$14,2,FALSE)=0,"Spatial Data Missing ⚠",VLOOKUP(O108,'G-7 WaterC'' Data'!$AD$4:$AE$14,2,FALSE)))</f>
        <v>0.75</v>
      </c>
      <c r="Q108" s="369" t="str">
        <f>IF(D108="","",VLOOKUP(D108,'G-7 WaterC'' Data'!$B$2:$G$8,6,FALSE))</f>
        <v>Same habitat required =</v>
      </c>
      <c r="R108" s="376">
        <f>IFERROR(IF(D108="","",IF(AND(Q108='G-1 All Habitats'!$X$3,U108&gt;0),V108+W108,IF(AND(Q108='G-1 All Habitats'!$X$3,T108&gt;0),V108+W108,IF(AND(Q108='G-1 All Habitats'!$X$3,AD108&gt;0),"Any Loss Unacceptable ⚠",IF(AND(Q108='G-1 All Habitats'!$X$3,AE108&gt;0),"Any Loss Unacceptable ⚠", E108*G108*I108*L108*N108*P108 ))))),"Check Data ▲")</f>
        <v>2.0780628910096022</v>
      </c>
      <c r="S108" s="32"/>
      <c r="T108" s="114">
        <v>0</v>
      </c>
      <c r="U108" s="125">
        <v>0.69268763033653413</v>
      </c>
      <c r="V108" s="374">
        <f t="shared" si="7"/>
        <v>0</v>
      </c>
      <c r="W108" s="374">
        <f t="shared" si="8"/>
        <v>2.0780628910096022</v>
      </c>
      <c r="X108" s="374">
        <f t="shared" si="9"/>
        <v>0</v>
      </c>
      <c r="Y108" s="670">
        <f t="shared" si="10"/>
        <v>0</v>
      </c>
      <c r="Z108" s="706"/>
      <c r="AA108" s="704"/>
      <c r="AB108" s="120"/>
      <c r="AC108" s="120" t="s">
        <v>2100</v>
      </c>
      <c r="AD108" s="57" t="str">
        <f>IF(Q108="","",IF(Q108='G-1 All Habitats'!$X$3,E108-T108-U108,"None"))</f>
        <v>None</v>
      </c>
      <c r="AE108" s="58" t="str">
        <f>IF(Q108="","", IF(Q108='G-1 All Habitats'!$X$3, AD108*G108*I108*L108*N108*P108,"None"))</f>
        <v>None</v>
      </c>
      <c r="AH108" s="30">
        <f t="shared" si="11"/>
        <v>0</v>
      </c>
      <c r="AI108" s="124" t="b">
        <f t="shared" si="12"/>
        <v>0</v>
      </c>
      <c r="AJ108" s="124" t="b">
        <f t="shared" si="13"/>
        <v>1</v>
      </c>
      <c r="AL108" s="124">
        <v>99</v>
      </c>
      <c r="AN108" s="124" t="str">
        <f t="array" ref="AN108">IFERROR(INDEX($AL$10:$AL$258, MATCH(0, IF(TRUE=$AI$10:$AI$258, COUNTIF($AN$9:$AN107, $AL$10:$AL$258), ""), 0)),"")</f>
        <v/>
      </c>
      <c r="AO108" s="124">
        <f t="array" ref="AO108">IFERROR(INDEX($AL$10:$AL$258, MATCH(0, IF(TRUE=$AJ$10:$AJ$258, COUNTIF($AO$9:$AO107, $AL$10:$AL$258), ""), 0)),"")</f>
        <v>105</v>
      </c>
      <c r="AQ108" s="30" t="str">
        <f>IFERROR(INDEX('G-7 WaterC'' Data'!$AZ$3:$AZ$7,MATCH(D108,'G-7 WaterC'' Data'!$AY$3:$AY$7,0)),"")</f>
        <v>Rivercond1</v>
      </c>
      <c r="AR108" s="30" t="str">
        <f>IFERROR(INDEX('G-7 WaterC'' Data'!AZ108:AZ112,MATCH(D108,'G-7 WaterC'' Data'!$AY$10:$AY$14,0)),"")</f>
        <v/>
      </c>
    </row>
    <row r="109" spans="3:44" ht="28.5" x14ac:dyDescent="0.2">
      <c r="C109" s="110">
        <v>100</v>
      </c>
      <c r="D109" s="338" t="s">
        <v>198</v>
      </c>
      <c r="E109" s="139">
        <v>0.11523227179841747</v>
      </c>
      <c r="F109" s="362" t="str">
        <f>IF(D109="","",VLOOKUP(D109,'G-7 WaterC'' Data'!$B$2:$G$8,2,FALSE))</f>
        <v>Medium</v>
      </c>
      <c r="G109" s="363">
        <f>IFERROR(VLOOKUP(F109,'G-7 WaterC'' Data'!$C$4:$D$8,2,FALSE),"")</f>
        <v>4</v>
      </c>
      <c r="H109" s="114" t="s">
        <v>329</v>
      </c>
      <c r="I109" s="363">
        <f>IFERROR(INDEX('G-7 WaterC'' Data'!$H$4:$L$8,MATCH(D109,'G-7 WaterC'' Data'!$B$4:$B$8,0),MATCH(H109,'G-7 WaterC'' Data'!$H$3:$L$3,0)),"")</f>
        <v>1</v>
      </c>
      <c r="J109" s="320" t="s">
        <v>1029</v>
      </c>
      <c r="K109" s="398" t="str">
        <f>IF(J109="","",IF(VLOOKUP(J109,'G-7 WaterC'' Data'!$AK$4:$AM$6,2,FALSE)=0,"Spatial Data Missing ⚠",VLOOKUP(J109,'G-7 WaterC'' Data'!$AK$4:$AM$6,2,FALSE)))</f>
        <v xml:space="preserve">High strategic significance </v>
      </c>
      <c r="L109" s="368">
        <f>IF(J109="","",IF(VLOOKUP(J109,'G-7 WaterC'' Data'!$AK$4:$AM$9,3,FALSE)=0,"Spatial Data Missing ⚠",VLOOKUP(J109,'G-7 WaterC'' Data'!$AK$4:$AM$6,3,FALSE)))</f>
        <v>1.1499999999999999</v>
      </c>
      <c r="M109" s="54" t="s">
        <v>1126</v>
      </c>
      <c r="N109" s="363">
        <f>IF(M109="","",IF(VLOOKUP(M109,'G-7 WaterC'' Data'!$AA$4:$AB$7,2,FALSE)=0,"Spatial Data Missing ⚠",VLOOKUP(M109,'G-7 WaterC'' Data'!$AA$4:$AB$7,2,FALSE)))</f>
        <v>1</v>
      </c>
      <c r="O109" s="60" t="s">
        <v>1127</v>
      </c>
      <c r="P109" s="363">
        <f>IF(O109="","",IF(VLOOKUP(O109,'G-7 WaterC'' Data'!$AD$4:$AE$14,2,FALSE)=0,"Spatial Data Missing ⚠",VLOOKUP(O109,'G-7 WaterC'' Data'!$AD$4:$AE$14,2,FALSE)))</f>
        <v>0.75</v>
      </c>
      <c r="Q109" s="369" t="str">
        <f>IF(D109="","",VLOOKUP(D109,'G-7 WaterC'' Data'!$B$2:$G$8,6,FALSE))</f>
        <v>Same habitat required =</v>
      </c>
      <c r="R109" s="376">
        <f>IFERROR(IF(D109="","",IF(AND(Q109='G-1 All Habitats'!$X$3,U109&gt;0),V109+W109,IF(AND(Q109='G-1 All Habitats'!$X$3,T109&gt;0),V109+W109,IF(AND(Q109='G-1 All Habitats'!$X$3,AD109&gt;0),"Any Loss Unacceptable ⚠",IF(AND(Q109='G-1 All Habitats'!$X$3,AE109&gt;0),"Any Loss Unacceptable ⚠", E109*G109*I109*L109*N109*P109 ))))),"Check Data ▲")</f>
        <v>0.39755133770454021</v>
      </c>
      <c r="S109" s="32"/>
      <c r="T109" s="114">
        <v>0</v>
      </c>
      <c r="U109" s="125">
        <v>0.11523227179841747</v>
      </c>
      <c r="V109" s="374">
        <f t="shared" si="7"/>
        <v>0</v>
      </c>
      <c r="W109" s="374">
        <f t="shared" si="8"/>
        <v>0.39755133770454021</v>
      </c>
      <c r="X109" s="374">
        <f t="shared" si="9"/>
        <v>0</v>
      </c>
      <c r="Y109" s="670">
        <f t="shared" si="10"/>
        <v>0</v>
      </c>
      <c r="Z109" s="706"/>
      <c r="AA109" s="704"/>
      <c r="AB109" s="120"/>
      <c r="AC109" s="120" t="s">
        <v>2101</v>
      </c>
      <c r="AD109" s="57" t="str">
        <f>IF(Q109="","",IF(Q109='G-1 All Habitats'!$X$3,E109-T109-U109,"None"))</f>
        <v>None</v>
      </c>
      <c r="AE109" s="58" t="str">
        <f>IF(Q109="","", IF(Q109='G-1 All Habitats'!$X$3, AD109*G109*I109*L109*N109*P109,"None"))</f>
        <v>None</v>
      </c>
      <c r="AH109" s="30">
        <f t="shared" si="11"/>
        <v>0</v>
      </c>
      <c r="AI109" s="124" t="b">
        <f t="shared" si="12"/>
        <v>0</v>
      </c>
      <c r="AJ109" s="124" t="b">
        <f t="shared" si="13"/>
        <v>1</v>
      </c>
      <c r="AL109" s="124">
        <v>100</v>
      </c>
      <c r="AN109" s="124" t="str">
        <f t="array" ref="AN109">IFERROR(INDEX($AL$10:$AL$258, MATCH(0, IF(TRUE=$AI$10:$AI$258, COUNTIF($AN$9:$AN108, $AL$10:$AL$258), ""), 0)),"")</f>
        <v/>
      </c>
      <c r="AO109" s="124">
        <f t="array" ref="AO109">IFERROR(INDEX($AL$10:$AL$258, MATCH(0, IF(TRUE=$AJ$10:$AJ$258, COUNTIF($AO$9:$AO108, $AL$10:$AL$258), ""), 0)),"")</f>
        <v>106</v>
      </c>
      <c r="AQ109" s="30" t="str">
        <f>IFERROR(INDEX('G-7 WaterC'' Data'!$AZ$3:$AZ$7,MATCH(D109,'G-7 WaterC'' Data'!$AY$3:$AY$7,0)),"")</f>
        <v>Rivercond1</v>
      </c>
      <c r="AR109" s="30" t="str">
        <f>IFERROR(INDEX('G-7 WaterC'' Data'!AZ109:AZ113,MATCH(D109,'G-7 WaterC'' Data'!$AY$10:$AY$14,0)),"")</f>
        <v/>
      </c>
    </row>
    <row r="110" spans="3:44" ht="28.5" x14ac:dyDescent="0.2">
      <c r="C110" s="110">
        <v>101</v>
      </c>
      <c r="D110" s="338" t="s">
        <v>198</v>
      </c>
      <c r="E110" s="139">
        <v>4.6445460029233436E-2</v>
      </c>
      <c r="F110" s="362" t="str">
        <f>IF(D110="","",VLOOKUP(D110,'G-7 WaterC'' Data'!$B$2:$G$8,2,FALSE))</f>
        <v>Medium</v>
      </c>
      <c r="G110" s="363">
        <f>IFERROR(VLOOKUP(F110,'G-7 WaterC'' Data'!$C$4:$D$8,2,FALSE),"")</f>
        <v>4</v>
      </c>
      <c r="H110" s="114" t="s">
        <v>329</v>
      </c>
      <c r="I110" s="363">
        <f>IFERROR(INDEX('G-7 WaterC'' Data'!$H$4:$L$8,MATCH(D110,'G-7 WaterC'' Data'!$B$4:$B$8,0),MATCH(H110,'G-7 WaterC'' Data'!$H$3:$L$3,0)),"")</f>
        <v>1</v>
      </c>
      <c r="J110" s="320" t="s">
        <v>1029</v>
      </c>
      <c r="K110" s="398" t="str">
        <f>IF(J110="","",IF(VLOOKUP(J110,'G-7 WaterC'' Data'!$AK$4:$AM$6,2,FALSE)=0,"Spatial Data Missing ⚠",VLOOKUP(J110,'G-7 WaterC'' Data'!$AK$4:$AM$6,2,FALSE)))</f>
        <v xml:space="preserve">High strategic significance </v>
      </c>
      <c r="L110" s="368">
        <f>IF(J110="","",IF(VLOOKUP(J110,'G-7 WaterC'' Data'!$AK$4:$AM$9,3,FALSE)=0,"Spatial Data Missing ⚠",VLOOKUP(J110,'G-7 WaterC'' Data'!$AK$4:$AM$6,3,FALSE)))</f>
        <v>1.1499999999999999</v>
      </c>
      <c r="M110" s="54" t="s">
        <v>1126</v>
      </c>
      <c r="N110" s="363">
        <f>IF(M110="","",IF(VLOOKUP(M110,'G-7 WaterC'' Data'!$AA$4:$AB$7,2,FALSE)=0,"Spatial Data Missing ⚠",VLOOKUP(M110,'G-7 WaterC'' Data'!$AA$4:$AB$7,2,FALSE)))</f>
        <v>1</v>
      </c>
      <c r="O110" s="60" t="s">
        <v>1127</v>
      </c>
      <c r="P110" s="363">
        <f>IF(O110="","",IF(VLOOKUP(O110,'G-7 WaterC'' Data'!$AD$4:$AE$14,2,FALSE)=0,"Spatial Data Missing ⚠",VLOOKUP(O110,'G-7 WaterC'' Data'!$AD$4:$AE$14,2,FALSE)))</f>
        <v>0.75</v>
      </c>
      <c r="Q110" s="369" t="str">
        <f>IF(D110="","",VLOOKUP(D110,'G-7 WaterC'' Data'!$B$2:$G$8,6,FALSE))</f>
        <v>Same habitat required =</v>
      </c>
      <c r="R110" s="376">
        <f>IFERROR(IF(D110="","",IF(AND(Q110='G-1 All Habitats'!$X$3,U110&gt;0),V110+W110,IF(AND(Q110='G-1 All Habitats'!$X$3,T110&gt;0),V110+W110,IF(AND(Q110='G-1 All Habitats'!$X$3,AD110&gt;0),"Any Loss Unacceptable ⚠",IF(AND(Q110='G-1 All Habitats'!$X$3,AE110&gt;0),"Any Loss Unacceptable ⚠", E110*G110*I110*L110*N110*P110 ))))),"Check Data ▲")</f>
        <v>0.16023683710085534</v>
      </c>
      <c r="S110" s="32"/>
      <c r="T110" s="114">
        <v>0</v>
      </c>
      <c r="U110" s="125">
        <v>4.6445460029233436E-2</v>
      </c>
      <c r="V110" s="374">
        <f t="shared" si="7"/>
        <v>0</v>
      </c>
      <c r="W110" s="374">
        <f t="shared" si="8"/>
        <v>0.16023683710085534</v>
      </c>
      <c r="X110" s="374">
        <f t="shared" si="9"/>
        <v>0</v>
      </c>
      <c r="Y110" s="670">
        <f t="shared" si="10"/>
        <v>0</v>
      </c>
      <c r="Z110" s="706"/>
      <c r="AA110" s="704"/>
      <c r="AB110" s="120"/>
      <c r="AC110" s="120" t="s">
        <v>2102</v>
      </c>
      <c r="AD110" s="57" t="str">
        <f>IF(Q110="","",IF(Q110='G-1 All Habitats'!$X$3,E110-T110-U110,"None"))</f>
        <v>None</v>
      </c>
      <c r="AE110" s="58" t="str">
        <f>IF(Q110="","", IF(Q110='G-1 All Habitats'!$X$3, AD110*G110*I110*L110*N110*P110,"None"))</f>
        <v>None</v>
      </c>
      <c r="AH110" s="30">
        <f t="shared" si="11"/>
        <v>0</v>
      </c>
      <c r="AI110" s="124" t="b">
        <f t="shared" si="12"/>
        <v>0</v>
      </c>
      <c r="AJ110" s="124" t="b">
        <f t="shared" si="13"/>
        <v>1</v>
      </c>
      <c r="AL110" s="124">
        <v>101</v>
      </c>
      <c r="AN110" s="124" t="str">
        <f t="array" ref="AN110">IFERROR(INDEX($AL$10:$AL$258, MATCH(0, IF(TRUE=$AI$10:$AI$258, COUNTIF($AN$9:$AN109, $AL$10:$AL$258), ""), 0)),"")</f>
        <v/>
      </c>
      <c r="AO110" s="124">
        <f t="array" ref="AO110">IFERROR(INDEX($AL$10:$AL$258, MATCH(0, IF(TRUE=$AJ$10:$AJ$258, COUNTIF($AO$9:$AO109, $AL$10:$AL$258), ""), 0)),"")</f>
        <v>107</v>
      </c>
      <c r="AQ110" s="30" t="str">
        <f>IFERROR(INDEX('G-7 WaterC'' Data'!$AZ$3:$AZ$7,MATCH(D110,'G-7 WaterC'' Data'!$AY$3:$AY$7,0)),"")</f>
        <v>Rivercond1</v>
      </c>
      <c r="AR110" s="30" t="str">
        <f>IFERROR(INDEX('G-7 WaterC'' Data'!AZ110:AZ114,MATCH(D110,'G-7 WaterC'' Data'!$AY$10:$AY$14,0)),"")</f>
        <v/>
      </c>
    </row>
    <row r="111" spans="3:44" ht="28.5" x14ac:dyDescent="0.2">
      <c r="C111" s="110">
        <v>102</v>
      </c>
      <c r="D111" s="338" t="s">
        <v>198</v>
      </c>
      <c r="E111" s="139">
        <v>0.57701893230349133</v>
      </c>
      <c r="F111" s="362" t="str">
        <f>IF(D111="","",VLOOKUP(D111,'G-7 WaterC'' Data'!$B$2:$G$8,2,FALSE))</f>
        <v>Medium</v>
      </c>
      <c r="G111" s="363">
        <f>IFERROR(VLOOKUP(F111,'G-7 WaterC'' Data'!$C$4:$D$8,2,FALSE),"")</f>
        <v>4</v>
      </c>
      <c r="H111" s="114" t="s">
        <v>329</v>
      </c>
      <c r="I111" s="363">
        <f>IFERROR(INDEX('G-7 WaterC'' Data'!$H$4:$L$8,MATCH(D111,'G-7 WaterC'' Data'!$B$4:$B$8,0),MATCH(H111,'G-7 WaterC'' Data'!$H$3:$L$3,0)),"")</f>
        <v>1</v>
      </c>
      <c r="J111" s="320" t="s">
        <v>1037</v>
      </c>
      <c r="K111" s="398" t="str">
        <f>IF(J111="","",IF(VLOOKUP(J111,'G-7 WaterC'' Data'!$AK$4:$AM$6,2,FALSE)=0,"Spatial Data Missing ⚠",VLOOKUP(J111,'G-7 WaterC'' Data'!$AK$4:$AM$6,2,FALSE)))</f>
        <v>Low Strategic Significance</v>
      </c>
      <c r="L111" s="368">
        <f>IF(J111="","",IF(VLOOKUP(J111,'G-7 WaterC'' Data'!$AK$4:$AM$9,3,FALSE)=0,"Spatial Data Missing ⚠",VLOOKUP(J111,'G-7 WaterC'' Data'!$AK$4:$AM$6,3,FALSE)))</f>
        <v>1</v>
      </c>
      <c r="M111" s="54" t="s">
        <v>1126</v>
      </c>
      <c r="N111" s="363">
        <f>IF(M111="","",IF(VLOOKUP(M111,'G-7 WaterC'' Data'!$AA$4:$AB$7,2,FALSE)=0,"Spatial Data Missing ⚠",VLOOKUP(M111,'G-7 WaterC'' Data'!$AA$4:$AB$7,2,FALSE)))</f>
        <v>1</v>
      </c>
      <c r="O111" s="60" t="s">
        <v>1127</v>
      </c>
      <c r="P111" s="363">
        <f>IF(O111="","",IF(VLOOKUP(O111,'G-7 WaterC'' Data'!$AD$4:$AE$14,2,FALSE)=0,"Spatial Data Missing ⚠",VLOOKUP(O111,'G-7 WaterC'' Data'!$AD$4:$AE$14,2,FALSE)))</f>
        <v>0.75</v>
      </c>
      <c r="Q111" s="369" t="str">
        <f>IF(D111="","",VLOOKUP(D111,'G-7 WaterC'' Data'!$B$2:$G$8,6,FALSE))</f>
        <v>Same habitat required =</v>
      </c>
      <c r="R111" s="376">
        <f>IFERROR(IF(D111="","",IF(AND(Q111='G-1 All Habitats'!$X$3,U111&gt;0),V111+W111,IF(AND(Q111='G-1 All Habitats'!$X$3,T111&gt;0),V111+W111,IF(AND(Q111='G-1 All Habitats'!$X$3,AD111&gt;0),"Any Loss Unacceptable ⚠",IF(AND(Q111='G-1 All Habitats'!$X$3,AE111&gt;0),"Any Loss Unacceptable ⚠", E111*G111*I111*L111*N111*P111 ))))),"Check Data ▲")</f>
        <v>1.731056796910474</v>
      </c>
      <c r="S111" s="32"/>
      <c r="T111" s="114">
        <v>0</v>
      </c>
      <c r="U111" s="125">
        <v>0.57701893230349133</v>
      </c>
      <c r="V111" s="374">
        <f t="shared" si="7"/>
        <v>0</v>
      </c>
      <c r="W111" s="374">
        <f t="shared" si="8"/>
        <v>1.731056796910474</v>
      </c>
      <c r="X111" s="374">
        <f t="shared" si="9"/>
        <v>0</v>
      </c>
      <c r="Y111" s="670">
        <f t="shared" si="10"/>
        <v>0</v>
      </c>
      <c r="Z111" s="706"/>
      <c r="AA111" s="704"/>
      <c r="AB111" s="120"/>
      <c r="AC111" s="120" t="s">
        <v>2103</v>
      </c>
      <c r="AD111" s="57" t="str">
        <f>IF(Q111="","",IF(Q111='G-1 All Habitats'!$X$3,E111-T111-U111,"None"))</f>
        <v>None</v>
      </c>
      <c r="AE111" s="58" t="str">
        <f>IF(Q111="","", IF(Q111='G-1 All Habitats'!$X$3, AD111*G111*I111*L111*N111*P111,"None"))</f>
        <v>None</v>
      </c>
      <c r="AH111" s="30">
        <f t="shared" si="11"/>
        <v>0</v>
      </c>
      <c r="AI111" s="124" t="b">
        <f t="shared" si="12"/>
        <v>0</v>
      </c>
      <c r="AJ111" s="124" t="b">
        <f t="shared" si="13"/>
        <v>1</v>
      </c>
      <c r="AL111" s="124">
        <v>102</v>
      </c>
      <c r="AN111" s="124" t="str">
        <f t="array" ref="AN111">IFERROR(INDEX($AL$10:$AL$258, MATCH(0, IF(TRUE=$AI$10:$AI$258, COUNTIF($AN$9:$AN110, $AL$10:$AL$258), ""), 0)),"")</f>
        <v/>
      </c>
      <c r="AO111" s="124">
        <f t="array" ref="AO111">IFERROR(INDEX($AL$10:$AL$258, MATCH(0, IF(TRUE=$AJ$10:$AJ$258, COUNTIF($AO$9:$AO110, $AL$10:$AL$258), ""), 0)),"")</f>
        <v>108</v>
      </c>
      <c r="AQ111" s="30" t="str">
        <f>IFERROR(INDEX('G-7 WaterC'' Data'!$AZ$3:$AZ$7,MATCH(D111,'G-7 WaterC'' Data'!$AY$3:$AY$7,0)),"")</f>
        <v>Rivercond1</v>
      </c>
      <c r="AR111" s="30" t="str">
        <f>IFERROR(INDEX('G-7 WaterC'' Data'!AZ111:AZ115,MATCH(D111,'G-7 WaterC'' Data'!$AY$10:$AY$14,0)),"")</f>
        <v/>
      </c>
    </row>
    <row r="112" spans="3:44" ht="28.5" x14ac:dyDescent="0.2">
      <c r="C112" s="110">
        <v>103</v>
      </c>
      <c r="D112" s="338" t="s">
        <v>198</v>
      </c>
      <c r="E112" s="139">
        <v>6.5800774914544571E-2</v>
      </c>
      <c r="F112" s="362" t="str">
        <f>IF(D112="","",VLOOKUP(D112,'G-7 WaterC'' Data'!$B$2:$G$8,2,FALSE))</f>
        <v>Medium</v>
      </c>
      <c r="G112" s="363">
        <f>IFERROR(VLOOKUP(F112,'G-7 WaterC'' Data'!$C$4:$D$8,2,FALSE),"")</f>
        <v>4</v>
      </c>
      <c r="H112" s="114" t="s">
        <v>329</v>
      </c>
      <c r="I112" s="363">
        <f>IFERROR(INDEX('G-7 WaterC'' Data'!$H$4:$L$8,MATCH(D112,'G-7 WaterC'' Data'!$B$4:$B$8,0),MATCH(H112,'G-7 WaterC'' Data'!$H$3:$L$3,0)),"")</f>
        <v>1</v>
      </c>
      <c r="J112" s="320" t="s">
        <v>1037</v>
      </c>
      <c r="K112" s="398" t="str">
        <f>IF(J112="","",IF(VLOOKUP(J112,'G-7 WaterC'' Data'!$AK$4:$AM$6,2,FALSE)=0,"Spatial Data Missing ⚠",VLOOKUP(J112,'G-7 WaterC'' Data'!$AK$4:$AM$6,2,FALSE)))</f>
        <v>Low Strategic Significance</v>
      </c>
      <c r="L112" s="368">
        <f>IF(J112="","",IF(VLOOKUP(J112,'G-7 WaterC'' Data'!$AK$4:$AM$9,3,FALSE)=0,"Spatial Data Missing ⚠",VLOOKUP(J112,'G-7 WaterC'' Data'!$AK$4:$AM$6,3,FALSE)))</f>
        <v>1</v>
      </c>
      <c r="M112" s="54" t="s">
        <v>1126</v>
      </c>
      <c r="N112" s="363">
        <f>IF(M112="","",IF(VLOOKUP(M112,'G-7 WaterC'' Data'!$AA$4:$AB$7,2,FALSE)=0,"Spatial Data Missing ⚠",VLOOKUP(M112,'G-7 WaterC'' Data'!$AA$4:$AB$7,2,FALSE)))</f>
        <v>1</v>
      </c>
      <c r="O112" s="60" t="s">
        <v>1127</v>
      </c>
      <c r="P112" s="363">
        <f>IF(O112="","",IF(VLOOKUP(O112,'G-7 WaterC'' Data'!$AD$4:$AE$14,2,FALSE)=0,"Spatial Data Missing ⚠",VLOOKUP(O112,'G-7 WaterC'' Data'!$AD$4:$AE$14,2,FALSE)))</f>
        <v>0.75</v>
      </c>
      <c r="Q112" s="369" t="str">
        <f>IF(D112="","",VLOOKUP(D112,'G-7 WaterC'' Data'!$B$2:$G$8,6,FALSE))</f>
        <v>Same habitat required =</v>
      </c>
      <c r="R112" s="376">
        <f>IFERROR(IF(D112="","",IF(AND(Q112='G-1 All Habitats'!$X$3,U112&gt;0),V112+W112,IF(AND(Q112='G-1 All Habitats'!$X$3,T112&gt;0),V112+W112,IF(AND(Q112='G-1 All Habitats'!$X$3,AD112&gt;0),"Any Loss Unacceptable ⚠",IF(AND(Q112='G-1 All Habitats'!$X$3,AE112&gt;0),"Any Loss Unacceptable ⚠", E112*G112*I112*L112*N112*P112 ))))),"Check Data ▲")</f>
        <v>0.19740232474363373</v>
      </c>
      <c r="S112" s="32"/>
      <c r="T112" s="114">
        <v>0</v>
      </c>
      <c r="U112" s="125">
        <v>6.5800774914544571E-2</v>
      </c>
      <c r="V112" s="374">
        <f t="shared" si="7"/>
        <v>0</v>
      </c>
      <c r="W112" s="374">
        <f t="shared" si="8"/>
        <v>0.19740232474363373</v>
      </c>
      <c r="X112" s="374">
        <f t="shared" si="9"/>
        <v>0</v>
      </c>
      <c r="Y112" s="670">
        <f t="shared" si="10"/>
        <v>0</v>
      </c>
      <c r="Z112" s="706"/>
      <c r="AA112" s="704"/>
      <c r="AB112" s="120"/>
      <c r="AC112" s="120" t="s">
        <v>2104</v>
      </c>
      <c r="AD112" s="57" t="str">
        <f>IF(Q112="","",IF(Q112='G-1 All Habitats'!$X$3,E112-T112-U112,"None"))</f>
        <v>None</v>
      </c>
      <c r="AE112" s="58" t="str">
        <f>IF(Q112="","", IF(Q112='G-1 All Habitats'!$X$3, AD112*G112*I112*L112*N112*P112,"None"))</f>
        <v>None</v>
      </c>
      <c r="AH112" s="30">
        <f t="shared" si="11"/>
        <v>0</v>
      </c>
      <c r="AI112" s="124" t="b">
        <f t="shared" si="12"/>
        <v>0</v>
      </c>
      <c r="AJ112" s="124" t="b">
        <f t="shared" si="13"/>
        <v>1</v>
      </c>
      <c r="AL112" s="124">
        <v>103</v>
      </c>
      <c r="AN112" s="124" t="str">
        <f t="array" ref="AN112">IFERROR(INDEX($AL$10:$AL$258, MATCH(0, IF(TRUE=$AI$10:$AI$258, COUNTIF($AN$9:$AN111, $AL$10:$AL$258), ""), 0)),"")</f>
        <v/>
      </c>
      <c r="AO112" s="124">
        <f t="array" ref="AO112">IFERROR(INDEX($AL$10:$AL$258, MATCH(0, IF(TRUE=$AJ$10:$AJ$258, COUNTIF($AO$9:$AO111, $AL$10:$AL$258), ""), 0)),"")</f>
        <v>109</v>
      </c>
      <c r="AQ112" s="30" t="str">
        <f>IFERROR(INDEX('G-7 WaterC'' Data'!$AZ$3:$AZ$7,MATCH(D112,'G-7 WaterC'' Data'!$AY$3:$AY$7,0)),"")</f>
        <v>Rivercond1</v>
      </c>
      <c r="AR112" s="30" t="str">
        <f>IFERROR(INDEX('G-7 WaterC'' Data'!AZ112:AZ116,MATCH(D112,'G-7 WaterC'' Data'!$AY$10:$AY$14,0)),"")</f>
        <v/>
      </c>
    </row>
    <row r="113" spans="3:44" ht="28.5" x14ac:dyDescent="0.2">
      <c r="C113" s="110">
        <v>104</v>
      </c>
      <c r="D113" s="338" t="s">
        <v>198</v>
      </c>
      <c r="E113" s="139">
        <v>0.86683719404770732</v>
      </c>
      <c r="F113" s="362" t="str">
        <f>IF(D113="","",VLOOKUP(D113,'G-7 WaterC'' Data'!$B$2:$G$8,2,FALSE))</f>
        <v>Medium</v>
      </c>
      <c r="G113" s="363">
        <f>IFERROR(VLOOKUP(F113,'G-7 WaterC'' Data'!$C$4:$D$8,2,FALSE),"")</f>
        <v>4</v>
      </c>
      <c r="H113" s="114" t="s">
        <v>329</v>
      </c>
      <c r="I113" s="363">
        <f>IFERROR(INDEX('G-7 WaterC'' Data'!$H$4:$L$8,MATCH(D113,'G-7 WaterC'' Data'!$B$4:$B$8,0),MATCH(H113,'G-7 WaterC'' Data'!$H$3:$L$3,0)),"")</f>
        <v>1</v>
      </c>
      <c r="J113" s="320" t="s">
        <v>1029</v>
      </c>
      <c r="K113" s="398" t="str">
        <f>IF(J113="","",IF(VLOOKUP(J113,'G-7 WaterC'' Data'!$AK$4:$AM$6,2,FALSE)=0,"Spatial Data Missing ⚠",VLOOKUP(J113,'G-7 WaterC'' Data'!$AK$4:$AM$6,2,FALSE)))</f>
        <v xml:space="preserve">High strategic significance </v>
      </c>
      <c r="L113" s="368">
        <f>IF(J113="","",IF(VLOOKUP(J113,'G-7 WaterC'' Data'!$AK$4:$AM$9,3,FALSE)=0,"Spatial Data Missing ⚠",VLOOKUP(J113,'G-7 WaterC'' Data'!$AK$4:$AM$6,3,FALSE)))</f>
        <v>1.1499999999999999</v>
      </c>
      <c r="M113" s="54" t="s">
        <v>1126</v>
      </c>
      <c r="N113" s="363">
        <f>IF(M113="","",IF(VLOOKUP(M113,'G-7 WaterC'' Data'!$AA$4:$AB$7,2,FALSE)=0,"Spatial Data Missing ⚠",VLOOKUP(M113,'G-7 WaterC'' Data'!$AA$4:$AB$7,2,FALSE)))</f>
        <v>1</v>
      </c>
      <c r="O113" s="60" t="s">
        <v>1127</v>
      </c>
      <c r="P113" s="363">
        <f>IF(O113="","",IF(VLOOKUP(O113,'G-7 WaterC'' Data'!$AD$4:$AE$14,2,FALSE)=0,"Spatial Data Missing ⚠",VLOOKUP(O113,'G-7 WaterC'' Data'!$AD$4:$AE$14,2,FALSE)))</f>
        <v>0.75</v>
      </c>
      <c r="Q113" s="369" t="str">
        <f>IF(D113="","",VLOOKUP(D113,'G-7 WaterC'' Data'!$B$2:$G$8,6,FALSE))</f>
        <v>Same habitat required =</v>
      </c>
      <c r="R113" s="376">
        <f>IFERROR(IF(D113="","",IF(AND(Q113='G-1 All Habitats'!$X$3,U113&gt;0),V113+W113,IF(AND(Q113='G-1 All Habitats'!$X$3,T113&gt;0),V113+W113,IF(AND(Q113='G-1 All Habitats'!$X$3,AD113&gt;0),"Any Loss Unacceptable ⚠",IF(AND(Q113='G-1 All Habitats'!$X$3,AE113&gt;0),"Any Loss Unacceptable ⚠", E113*G113*I113*L113*N113*P113 ))))),"Check Data ▲")</f>
        <v>2.9905883194645901</v>
      </c>
      <c r="S113" s="32"/>
      <c r="T113" s="114">
        <v>0</v>
      </c>
      <c r="U113" s="125">
        <v>0.86683719404770732</v>
      </c>
      <c r="V113" s="374">
        <f t="shared" si="7"/>
        <v>0</v>
      </c>
      <c r="W113" s="374">
        <f t="shared" si="8"/>
        <v>2.9905883194645901</v>
      </c>
      <c r="X113" s="374">
        <f t="shared" si="9"/>
        <v>0</v>
      </c>
      <c r="Y113" s="670">
        <f t="shared" si="10"/>
        <v>0</v>
      </c>
      <c r="Z113" s="706"/>
      <c r="AA113" s="704"/>
      <c r="AB113" s="120"/>
      <c r="AC113" s="120" t="s">
        <v>2105</v>
      </c>
      <c r="AD113" s="57" t="str">
        <f>IF(Q113="","",IF(Q113='G-1 All Habitats'!$X$3,E113-T113-U113,"None"))</f>
        <v>None</v>
      </c>
      <c r="AE113" s="58" t="str">
        <f>IF(Q113="","", IF(Q113='G-1 All Habitats'!$X$3, AD113*G113*I113*L113*N113*P113,"None"))</f>
        <v>None</v>
      </c>
      <c r="AH113" s="30">
        <f t="shared" si="11"/>
        <v>0</v>
      </c>
      <c r="AI113" s="124" t="b">
        <f t="shared" si="12"/>
        <v>0</v>
      </c>
      <c r="AJ113" s="124" t="b">
        <f t="shared" si="13"/>
        <v>1</v>
      </c>
      <c r="AL113" s="124">
        <v>104</v>
      </c>
      <c r="AN113" s="124" t="str">
        <f t="array" ref="AN113">IFERROR(INDEX($AL$10:$AL$258, MATCH(0, IF(TRUE=$AI$10:$AI$258, COUNTIF($AN$9:$AN112, $AL$10:$AL$258), ""), 0)),"")</f>
        <v/>
      </c>
      <c r="AO113" s="124">
        <f t="array" ref="AO113">IFERROR(INDEX($AL$10:$AL$258, MATCH(0, IF(TRUE=$AJ$10:$AJ$258, COUNTIF($AO$9:$AO112, $AL$10:$AL$258), ""), 0)),"")</f>
        <v>110</v>
      </c>
      <c r="AQ113" s="30" t="str">
        <f>IFERROR(INDEX('G-7 WaterC'' Data'!$AZ$3:$AZ$7,MATCH(D113,'G-7 WaterC'' Data'!$AY$3:$AY$7,0)),"")</f>
        <v>Rivercond1</v>
      </c>
      <c r="AR113" s="30" t="str">
        <f>IFERROR(INDEX('G-7 WaterC'' Data'!AZ113:AZ117,MATCH(D113,'G-7 WaterC'' Data'!$AY$10:$AY$14,0)),"")</f>
        <v/>
      </c>
    </row>
    <row r="114" spans="3:44" ht="28.5" x14ac:dyDescent="0.2">
      <c r="C114" s="110">
        <v>105</v>
      </c>
      <c r="D114" s="338" t="s">
        <v>198</v>
      </c>
      <c r="E114" s="139">
        <v>0.14970213270612737</v>
      </c>
      <c r="F114" s="362" t="str">
        <f>IF(D114="","",VLOOKUP(D114,'G-7 WaterC'' Data'!$B$2:$G$8,2,FALSE))</f>
        <v>Medium</v>
      </c>
      <c r="G114" s="363">
        <f>IFERROR(VLOOKUP(F114,'G-7 WaterC'' Data'!$C$4:$D$8,2,FALSE),"")</f>
        <v>4</v>
      </c>
      <c r="H114" s="114" t="s">
        <v>329</v>
      </c>
      <c r="I114" s="363">
        <f>IFERROR(INDEX('G-7 WaterC'' Data'!$H$4:$L$8,MATCH(D114,'G-7 WaterC'' Data'!$B$4:$B$8,0),MATCH(H114,'G-7 WaterC'' Data'!$H$3:$L$3,0)),"")</f>
        <v>1</v>
      </c>
      <c r="J114" s="320" t="s">
        <v>1037</v>
      </c>
      <c r="K114" s="398" t="str">
        <f>IF(J114="","",IF(VLOOKUP(J114,'G-7 WaterC'' Data'!$AK$4:$AM$6,2,FALSE)=0,"Spatial Data Missing ⚠",VLOOKUP(J114,'G-7 WaterC'' Data'!$AK$4:$AM$6,2,FALSE)))</f>
        <v>Low Strategic Significance</v>
      </c>
      <c r="L114" s="368">
        <f>IF(J114="","",IF(VLOOKUP(J114,'G-7 WaterC'' Data'!$AK$4:$AM$9,3,FALSE)=0,"Spatial Data Missing ⚠",VLOOKUP(J114,'G-7 WaterC'' Data'!$AK$4:$AM$6,3,FALSE)))</f>
        <v>1</v>
      </c>
      <c r="M114" s="54" t="s">
        <v>1126</v>
      </c>
      <c r="N114" s="363">
        <f>IF(M114="","",IF(VLOOKUP(M114,'G-7 WaterC'' Data'!$AA$4:$AB$7,2,FALSE)=0,"Spatial Data Missing ⚠",VLOOKUP(M114,'G-7 WaterC'' Data'!$AA$4:$AB$7,2,FALSE)))</f>
        <v>1</v>
      </c>
      <c r="O114" s="60" t="s">
        <v>1127</v>
      </c>
      <c r="P114" s="363">
        <f>IF(O114="","",IF(VLOOKUP(O114,'G-7 WaterC'' Data'!$AD$4:$AE$14,2,FALSE)=0,"Spatial Data Missing ⚠",VLOOKUP(O114,'G-7 WaterC'' Data'!$AD$4:$AE$14,2,FALSE)))</f>
        <v>0.75</v>
      </c>
      <c r="Q114" s="369" t="str">
        <f>IF(D114="","",VLOOKUP(D114,'G-7 WaterC'' Data'!$B$2:$G$8,6,FALSE))</f>
        <v>Same habitat required =</v>
      </c>
      <c r="R114" s="376">
        <f>IFERROR(IF(D114="","",IF(AND(Q114='G-1 All Habitats'!$X$3,U114&gt;0),V114+W114,IF(AND(Q114='G-1 All Habitats'!$X$3,T114&gt;0),V114+W114,IF(AND(Q114='G-1 All Habitats'!$X$3,AD114&gt;0),"Any Loss Unacceptable ⚠",IF(AND(Q114='G-1 All Habitats'!$X$3,AE114&gt;0),"Any Loss Unacceptable ⚠", E114*G114*I114*L114*N114*P114 ))))),"Check Data ▲")</f>
        <v>0.4491063981183821</v>
      </c>
      <c r="S114" s="32"/>
      <c r="T114" s="114">
        <v>0</v>
      </c>
      <c r="U114" s="125">
        <v>0.14970213270612737</v>
      </c>
      <c r="V114" s="374">
        <f t="shared" si="7"/>
        <v>0</v>
      </c>
      <c r="W114" s="374">
        <f t="shared" si="8"/>
        <v>0.4491063981183821</v>
      </c>
      <c r="X114" s="374">
        <f t="shared" si="9"/>
        <v>0</v>
      </c>
      <c r="Y114" s="670">
        <f t="shared" si="10"/>
        <v>0</v>
      </c>
      <c r="Z114" s="706"/>
      <c r="AA114" s="704"/>
      <c r="AB114" s="120"/>
      <c r="AC114" s="120" t="s">
        <v>2106</v>
      </c>
      <c r="AD114" s="57" t="str">
        <f>IF(Q114="","",IF(Q114='G-1 All Habitats'!$X$3,E114-T114-U114,"None"))</f>
        <v>None</v>
      </c>
      <c r="AE114" s="58" t="str">
        <f>IF(Q114="","", IF(Q114='G-1 All Habitats'!$X$3, AD114*G114*I114*L114*N114*P114,"None"))</f>
        <v>None</v>
      </c>
      <c r="AH114" s="30">
        <f t="shared" si="11"/>
        <v>0</v>
      </c>
      <c r="AI114" s="124" t="b">
        <f t="shared" si="12"/>
        <v>0</v>
      </c>
      <c r="AJ114" s="124" t="b">
        <f t="shared" si="13"/>
        <v>1</v>
      </c>
      <c r="AL114" s="124">
        <v>105</v>
      </c>
      <c r="AN114" s="124" t="str">
        <f t="array" ref="AN114">IFERROR(INDEX($AL$10:$AL$258, MATCH(0, IF(TRUE=$AI$10:$AI$258, COUNTIF($AN$9:$AN113, $AL$10:$AL$258), ""), 0)),"")</f>
        <v/>
      </c>
      <c r="AO114" s="124">
        <f t="array" ref="AO114">IFERROR(INDEX($AL$10:$AL$258, MATCH(0, IF(TRUE=$AJ$10:$AJ$258, COUNTIF($AO$9:$AO113, $AL$10:$AL$258), ""), 0)),"")</f>
        <v>111</v>
      </c>
      <c r="AQ114" s="30" t="str">
        <f>IFERROR(INDEX('G-7 WaterC'' Data'!$AZ$3:$AZ$7,MATCH(D114,'G-7 WaterC'' Data'!$AY$3:$AY$7,0)),"")</f>
        <v>Rivercond1</v>
      </c>
      <c r="AR114" s="30" t="str">
        <f>IFERROR(INDEX('G-7 WaterC'' Data'!AZ114:AZ118,MATCH(D114,'G-7 WaterC'' Data'!$AY$10:$AY$14,0)),"")</f>
        <v/>
      </c>
    </row>
    <row r="115" spans="3:44" ht="28.5" x14ac:dyDescent="0.2">
      <c r="C115" s="110">
        <v>106</v>
      </c>
      <c r="D115" s="338" t="s">
        <v>198</v>
      </c>
      <c r="E115" s="139">
        <v>0.26270823023334833</v>
      </c>
      <c r="F115" s="362" t="str">
        <f>IF(D115="","",VLOOKUP(D115,'G-7 WaterC'' Data'!$B$2:$G$8,2,FALSE))</f>
        <v>Medium</v>
      </c>
      <c r="G115" s="363">
        <f>IFERROR(VLOOKUP(F115,'G-7 WaterC'' Data'!$C$4:$D$8,2,FALSE),"")</f>
        <v>4</v>
      </c>
      <c r="H115" s="114" t="s">
        <v>329</v>
      </c>
      <c r="I115" s="363">
        <f>IFERROR(INDEX('G-7 WaterC'' Data'!$H$4:$L$8,MATCH(D115,'G-7 WaterC'' Data'!$B$4:$B$8,0),MATCH(H115,'G-7 WaterC'' Data'!$H$3:$L$3,0)),"")</f>
        <v>1</v>
      </c>
      <c r="J115" s="320" t="s">
        <v>1029</v>
      </c>
      <c r="K115" s="398" t="str">
        <f>IF(J115="","",IF(VLOOKUP(J115,'G-7 WaterC'' Data'!$AK$4:$AM$6,2,FALSE)=0,"Spatial Data Missing ⚠",VLOOKUP(J115,'G-7 WaterC'' Data'!$AK$4:$AM$6,2,FALSE)))</f>
        <v xml:space="preserve">High strategic significance </v>
      </c>
      <c r="L115" s="368">
        <f>IF(J115="","",IF(VLOOKUP(J115,'G-7 WaterC'' Data'!$AK$4:$AM$9,3,FALSE)=0,"Spatial Data Missing ⚠",VLOOKUP(J115,'G-7 WaterC'' Data'!$AK$4:$AM$6,3,FALSE)))</f>
        <v>1.1499999999999999</v>
      </c>
      <c r="M115" s="54" t="s">
        <v>1126</v>
      </c>
      <c r="N115" s="363">
        <f>IF(M115="","",IF(VLOOKUP(M115,'G-7 WaterC'' Data'!$AA$4:$AB$7,2,FALSE)=0,"Spatial Data Missing ⚠",VLOOKUP(M115,'G-7 WaterC'' Data'!$AA$4:$AB$7,2,FALSE)))</f>
        <v>1</v>
      </c>
      <c r="O115" s="60" t="s">
        <v>1127</v>
      </c>
      <c r="P115" s="363">
        <f>IF(O115="","",IF(VLOOKUP(O115,'G-7 WaterC'' Data'!$AD$4:$AE$14,2,FALSE)=0,"Spatial Data Missing ⚠",VLOOKUP(O115,'G-7 WaterC'' Data'!$AD$4:$AE$14,2,FALSE)))</f>
        <v>0.75</v>
      </c>
      <c r="Q115" s="369" t="str">
        <f>IF(D115="","",VLOOKUP(D115,'G-7 WaterC'' Data'!$B$2:$G$8,6,FALSE))</f>
        <v>Same habitat required =</v>
      </c>
      <c r="R115" s="376">
        <f>IFERROR(IF(D115="","",IF(AND(Q115='G-1 All Habitats'!$X$3,U115&gt;0),V115+W115,IF(AND(Q115='G-1 All Habitats'!$X$3,T115&gt;0),V115+W115,IF(AND(Q115='G-1 All Habitats'!$X$3,AD115&gt;0),"Any Loss Unacceptable ⚠",IF(AND(Q115='G-1 All Habitats'!$X$3,AE115&gt;0),"Any Loss Unacceptable ⚠", E115*G115*I115*L115*N115*P115 ))))),"Check Data ▲")</f>
        <v>0.90634339430505173</v>
      </c>
      <c r="S115" s="32"/>
      <c r="T115" s="114">
        <v>0</v>
      </c>
      <c r="U115" s="125">
        <v>0.26270823023334833</v>
      </c>
      <c r="V115" s="374">
        <f t="shared" si="7"/>
        <v>0</v>
      </c>
      <c r="W115" s="374">
        <f t="shared" si="8"/>
        <v>0.90634339430505173</v>
      </c>
      <c r="X115" s="374">
        <f t="shared" si="9"/>
        <v>0</v>
      </c>
      <c r="Y115" s="670">
        <f t="shared" si="10"/>
        <v>0</v>
      </c>
      <c r="Z115" s="706"/>
      <c r="AA115" s="704"/>
      <c r="AB115" s="120"/>
      <c r="AC115" s="120" t="s">
        <v>2107</v>
      </c>
      <c r="AD115" s="57" t="str">
        <f>IF(Q115="","",IF(Q115='G-1 All Habitats'!$X$3,E115-T115-U115,"None"))</f>
        <v>None</v>
      </c>
      <c r="AE115" s="58" t="str">
        <f>IF(Q115="","", IF(Q115='G-1 All Habitats'!$X$3, AD115*G115*I115*L115*N115*P115,"None"))</f>
        <v>None</v>
      </c>
      <c r="AH115" s="30">
        <f t="shared" si="11"/>
        <v>0</v>
      </c>
      <c r="AI115" s="124" t="b">
        <f t="shared" si="12"/>
        <v>0</v>
      </c>
      <c r="AJ115" s="124" t="b">
        <f t="shared" si="13"/>
        <v>1</v>
      </c>
      <c r="AL115" s="124">
        <v>106</v>
      </c>
      <c r="AN115" s="124" t="str">
        <f t="array" ref="AN115">IFERROR(INDEX($AL$10:$AL$258, MATCH(0, IF(TRUE=$AI$10:$AI$258, COUNTIF($AN$9:$AN114, $AL$10:$AL$258), ""), 0)),"")</f>
        <v/>
      </c>
      <c r="AO115" s="124">
        <f t="array" ref="AO115">IFERROR(INDEX($AL$10:$AL$258, MATCH(0, IF(TRUE=$AJ$10:$AJ$258, COUNTIF($AO$9:$AO114, $AL$10:$AL$258), ""), 0)),"")</f>
        <v>112</v>
      </c>
      <c r="AQ115" s="30" t="str">
        <f>IFERROR(INDEX('G-7 WaterC'' Data'!$AZ$3:$AZ$7,MATCH(D115,'G-7 WaterC'' Data'!$AY$3:$AY$7,0)),"")</f>
        <v>Rivercond1</v>
      </c>
      <c r="AR115" s="30" t="str">
        <f>IFERROR(INDEX('G-7 WaterC'' Data'!AZ115:AZ119,MATCH(D115,'G-7 WaterC'' Data'!$AY$10:$AY$14,0)),"")</f>
        <v/>
      </c>
    </row>
    <row r="116" spans="3:44" ht="28.5" x14ac:dyDescent="0.2">
      <c r="C116" s="110">
        <v>107</v>
      </c>
      <c r="D116" s="338" t="s">
        <v>197</v>
      </c>
      <c r="E116" s="139">
        <v>1.008525102440017</v>
      </c>
      <c r="F116" s="362" t="str">
        <f>IF(D116="","",VLOOKUP(D116,'G-7 WaterC'' Data'!$B$2:$G$8,2,FALSE))</f>
        <v>High</v>
      </c>
      <c r="G116" s="363">
        <f>IFERROR(VLOOKUP(F116,'G-7 WaterC'' Data'!$C$4:$D$8,2,FALSE),"")</f>
        <v>6</v>
      </c>
      <c r="H116" s="114" t="s">
        <v>67</v>
      </c>
      <c r="I116" s="363">
        <f>IFERROR(INDEX('G-7 WaterC'' Data'!$H$4:$L$8,MATCH(D116,'G-7 WaterC'' Data'!$B$4:$B$8,0),MATCH(H116,'G-7 WaterC'' Data'!$H$3:$L$3,0)),"")</f>
        <v>2</v>
      </c>
      <c r="J116" s="320" t="s">
        <v>1029</v>
      </c>
      <c r="K116" s="398" t="str">
        <f>IF(J116="","",IF(VLOOKUP(J116,'G-7 WaterC'' Data'!$AK$4:$AM$6,2,FALSE)=0,"Spatial Data Missing ⚠",VLOOKUP(J116,'G-7 WaterC'' Data'!$AK$4:$AM$6,2,FALSE)))</f>
        <v xml:space="preserve">High strategic significance </v>
      </c>
      <c r="L116" s="368">
        <f>IF(J116="","",IF(VLOOKUP(J116,'G-7 WaterC'' Data'!$AK$4:$AM$9,3,FALSE)=0,"Spatial Data Missing ⚠",VLOOKUP(J116,'G-7 WaterC'' Data'!$AK$4:$AM$6,3,FALSE)))</f>
        <v>1.1499999999999999</v>
      </c>
      <c r="M116" s="54" t="s">
        <v>1126</v>
      </c>
      <c r="N116" s="363">
        <f>IF(M116="","",IF(VLOOKUP(M116,'G-7 WaterC'' Data'!$AA$4:$AB$7,2,FALSE)=0,"Spatial Data Missing ⚠",VLOOKUP(M116,'G-7 WaterC'' Data'!$AA$4:$AB$7,2,FALSE)))</f>
        <v>1</v>
      </c>
      <c r="O116" s="60" t="s">
        <v>1127</v>
      </c>
      <c r="P116" s="363">
        <f>IF(O116="","",IF(VLOOKUP(O116,'G-7 WaterC'' Data'!$AD$4:$AE$14,2,FALSE)=0,"Spatial Data Missing ⚠",VLOOKUP(O116,'G-7 WaterC'' Data'!$AD$4:$AE$14,2,FALSE)))</f>
        <v>0.75</v>
      </c>
      <c r="Q116" s="369" t="str">
        <f>IF(D116="","",VLOOKUP(D116,'G-7 WaterC'' Data'!$B$2:$G$8,6,FALSE))</f>
        <v>Same habitat required =</v>
      </c>
      <c r="R116" s="376">
        <f>IFERROR(IF(D116="","",IF(AND(Q116='G-1 All Habitats'!$X$3,U116&gt;0),V116+W116,IF(AND(Q116='G-1 All Habitats'!$X$3,T116&gt;0),V116+W116,IF(AND(Q116='G-1 All Habitats'!$X$3,AD116&gt;0),"Any Loss Unacceptable ⚠",IF(AND(Q116='G-1 All Habitats'!$X$3,AE116&gt;0),"Any Loss Unacceptable ⚠", E116*G116*I116*L116*N116*P116 ))))),"Check Data ▲")</f>
        <v>10.438234810254176</v>
      </c>
      <c r="S116" s="32"/>
      <c r="T116" s="114">
        <v>0</v>
      </c>
      <c r="U116" s="125">
        <v>1.008525102440017</v>
      </c>
      <c r="V116" s="374">
        <f t="shared" si="7"/>
        <v>0</v>
      </c>
      <c r="W116" s="374">
        <f t="shared" si="8"/>
        <v>10.438234810254176</v>
      </c>
      <c r="X116" s="374">
        <f t="shared" si="9"/>
        <v>0</v>
      </c>
      <c r="Y116" s="670">
        <f t="shared" si="10"/>
        <v>0</v>
      </c>
      <c r="Z116" s="706"/>
      <c r="AA116" s="704"/>
      <c r="AB116" s="120"/>
      <c r="AC116" s="120" t="s">
        <v>2108</v>
      </c>
      <c r="AD116" s="57" t="str">
        <f>IF(Q116="","",IF(Q116='G-1 All Habitats'!$X$3,E116-T116-U116,"None"))</f>
        <v>None</v>
      </c>
      <c r="AE116" s="58" t="str">
        <f>IF(Q116="","", IF(Q116='G-1 All Habitats'!$X$3, AD116*G116*I116*L116*N116*P116,"None"))</f>
        <v>None</v>
      </c>
      <c r="AH116" s="30">
        <f t="shared" si="11"/>
        <v>0</v>
      </c>
      <c r="AI116" s="124" t="b">
        <f t="shared" si="12"/>
        <v>0</v>
      </c>
      <c r="AJ116" s="124" t="b">
        <f t="shared" si="13"/>
        <v>1</v>
      </c>
      <c r="AL116" s="124">
        <v>107</v>
      </c>
      <c r="AN116" s="124" t="str">
        <f t="array" ref="AN116">IFERROR(INDEX($AL$10:$AL$258, MATCH(0, IF(TRUE=$AI$10:$AI$258, COUNTIF($AN$9:$AN115, $AL$10:$AL$258), ""), 0)),"")</f>
        <v/>
      </c>
      <c r="AO116" s="124">
        <f t="array" ref="AO116">IFERROR(INDEX($AL$10:$AL$258, MATCH(0, IF(TRUE=$AJ$10:$AJ$258, COUNTIF($AO$9:$AO115, $AL$10:$AL$258), ""), 0)),"")</f>
        <v>113</v>
      </c>
      <c r="AQ116" s="30" t="str">
        <f>IFERROR(INDEX('G-7 WaterC'' Data'!$AZ$3:$AZ$7,MATCH(D116,'G-7 WaterC'' Data'!$AY$3:$AY$7,0)),"")</f>
        <v>Rivercond1</v>
      </c>
      <c r="AR116" s="30" t="str">
        <f>IFERROR(INDEX('G-7 WaterC'' Data'!AZ116:AZ120,MATCH(D116,'G-7 WaterC'' Data'!$AY$10:$AY$14,0)),"")</f>
        <v/>
      </c>
    </row>
    <row r="117" spans="3:44" ht="28.5" x14ac:dyDescent="0.2">
      <c r="C117" s="110">
        <v>108</v>
      </c>
      <c r="D117" s="338" t="s">
        <v>197</v>
      </c>
      <c r="E117" s="139">
        <v>0.93405438198920121</v>
      </c>
      <c r="F117" s="362" t="str">
        <f>IF(D117="","",VLOOKUP(D117,'G-7 WaterC'' Data'!$B$2:$G$8,2,FALSE))</f>
        <v>High</v>
      </c>
      <c r="G117" s="363">
        <f>IFERROR(VLOOKUP(F117,'G-7 WaterC'' Data'!$C$4:$D$8,2,FALSE),"")</f>
        <v>6</v>
      </c>
      <c r="H117" s="114" t="s">
        <v>67</v>
      </c>
      <c r="I117" s="363">
        <f>IFERROR(INDEX('G-7 WaterC'' Data'!$H$4:$L$8,MATCH(D117,'G-7 WaterC'' Data'!$B$4:$B$8,0),MATCH(H117,'G-7 WaterC'' Data'!$H$3:$L$3,0)),"")</f>
        <v>2</v>
      </c>
      <c r="J117" s="320" t="s">
        <v>1029</v>
      </c>
      <c r="K117" s="398" t="str">
        <f>IF(J117="","",IF(VLOOKUP(J117,'G-7 WaterC'' Data'!$AK$4:$AM$6,2,FALSE)=0,"Spatial Data Missing ⚠",VLOOKUP(J117,'G-7 WaterC'' Data'!$AK$4:$AM$6,2,FALSE)))</f>
        <v xml:space="preserve">High strategic significance </v>
      </c>
      <c r="L117" s="368">
        <f>IF(J117="","",IF(VLOOKUP(J117,'G-7 WaterC'' Data'!$AK$4:$AM$9,3,FALSE)=0,"Spatial Data Missing ⚠",VLOOKUP(J117,'G-7 WaterC'' Data'!$AK$4:$AM$6,3,FALSE)))</f>
        <v>1.1499999999999999</v>
      </c>
      <c r="M117" s="54" t="s">
        <v>1126</v>
      </c>
      <c r="N117" s="363">
        <f>IF(M117="","",IF(VLOOKUP(M117,'G-7 WaterC'' Data'!$AA$4:$AB$7,2,FALSE)=0,"Spatial Data Missing ⚠",VLOOKUP(M117,'G-7 WaterC'' Data'!$AA$4:$AB$7,2,FALSE)))</f>
        <v>1</v>
      </c>
      <c r="O117" s="60" t="s">
        <v>1127</v>
      </c>
      <c r="P117" s="363">
        <f>IF(O117="","",IF(VLOOKUP(O117,'G-7 WaterC'' Data'!$AD$4:$AE$14,2,FALSE)=0,"Spatial Data Missing ⚠",VLOOKUP(O117,'G-7 WaterC'' Data'!$AD$4:$AE$14,2,FALSE)))</f>
        <v>0.75</v>
      </c>
      <c r="Q117" s="369" t="str">
        <f>IF(D117="","",VLOOKUP(D117,'G-7 WaterC'' Data'!$B$2:$G$8,6,FALSE))</f>
        <v>Same habitat required =</v>
      </c>
      <c r="R117" s="376">
        <f>IFERROR(IF(D117="","",IF(AND(Q117='G-1 All Habitats'!$X$3,U117&gt;0),V117+W117,IF(AND(Q117='G-1 All Habitats'!$X$3,T117&gt;0),V117+W117,IF(AND(Q117='G-1 All Habitats'!$X$3,AD117&gt;0),"Any Loss Unacceptable ⚠",IF(AND(Q117='G-1 All Habitats'!$X$3,AE117&gt;0),"Any Loss Unacceptable ⚠", E117*G117*I117*L117*N117*P117 ))))),"Check Data ▲")</f>
        <v>9.6674628535882317</v>
      </c>
      <c r="S117" s="32"/>
      <c r="T117" s="114">
        <v>0</v>
      </c>
      <c r="U117" s="125">
        <v>0.93405438198920121</v>
      </c>
      <c r="V117" s="374">
        <f t="shared" si="7"/>
        <v>0</v>
      </c>
      <c r="W117" s="374">
        <f t="shared" si="8"/>
        <v>9.6674628535882317</v>
      </c>
      <c r="X117" s="374">
        <f t="shared" si="9"/>
        <v>0</v>
      </c>
      <c r="Y117" s="670">
        <f t="shared" si="10"/>
        <v>0</v>
      </c>
      <c r="Z117" s="706"/>
      <c r="AA117" s="704"/>
      <c r="AB117" s="120"/>
      <c r="AC117" s="120" t="s">
        <v>2109</v>
      </c>
      <c r="AD117" s="57" t="str">
        <f>IF(Q117="","",IF(Q117='G-1 All Habitats'!$X$3,E117-T117-U117,"None"))</f>
        <v>None</v>
      </c>
      <c r="AE117" s="58" t="str">
        <f>IF(Q117="","", IF(Q117='G-1 All Habitats'!$X$3, AD117*G117*I117*L117*N117*P117,"None"))</f>
        <v>None</v>
      </c>
      <c r="AH117" s="30">
        <f t="shared" si="11"/>
        <v>0</v>
      </c>
      <c r="AI117" s="124" t="b">
        <f t="shared" si="12"/>
        <v>0</v>
      </c>
      <c r="AJ117" s="124" t="b">
        <f t="shared" si="13"/>
        <v>1</v>
      </c>
      <c r="AL117" s="124">
        <v>108</v>
      </c>
      <c r="AN117" s="124" t="str">
        <f t="array" ref="AN117">IFERROR(INDEX($AL$10:$AL$258, MATCH(0, IF(TRUE=$AI$10:$AI$258, COUNTIF($AN$9:$AN116, $AL$10:$AL$258), ""), 0)),"")</f>
        <v/>
      </c>
      <c r="AO117" s="124">
        <f t="array" ref="AO117">IFERROR(INDEX($AL$10:$AL$258, MATCH(0, IF(TRUE=$AJ$10:$AJ$258, COUNTIF($AO$9:$AO116, $AL$10:$AL$258), ""), 0)),"")</f>
        <v>114</v>
      </c>
      <c r="AQ117" s="30" t="str">
        <f>IFERROR(INDEX('G-7 WaterC'' Data'!$AZ$3:$AZ$7,MATCH(D117,'G-7 WaterC'' Data'!$AY$3:$AY$7,0)),"")</f>
        <v>Rivercond1</v>
      </c>
      <c r="AR117" s="30" t="str">
        <f>IFERROR(INDEX('G-7 WaterC'' Data'!AZ117:AZ121,MATCH(D117,'G-7 WaterC'' Data'!$AY$10:$AY$14,0)),"")</f>
        <v/>
      </c>
    </row>
    <row r="118" spans="3:44" ht="28.5" x14ac:dyDescent="0.2">
      <c r="C118" s="110">
        <v>109</v>
      </c>
      <c r="D118" s="338" t="s">
        <v>197</v>
      </c>
      <c r="E118" s="139">
        <v>1.5016868565159642</v>
      </c>
      <c r="F118" s="362" t="str">
        <f>IF(D118="","",VLOOKUP(D118,'G-7 WaterC'' Data'!$B$2:$G$8,2,FALSE))</f>
        <v>High</v>
      </c>
      <c r="G118" s="363">
        <f>IFERROR(VLOOKUP(F118,'G-7 WaterC'' Data'!$C$4:$D$8,2,FALSE),"")</f>
        <v>6</v>
      </c>
      <c r="H118" s="114" t="s">
        <v>67</v>
      </c>
      <c r="I118" s="363">
        <f>IFERROR(INDEX('G-7 WaterC'' Data'!$H$4:$L$8,MATCH(D118,'G-7 WaterC'' Data'!$B$4:$B$8,0),MATCH(H118,'G-7 WaterC'' Data'!$H$3:$L$3,0)),"")</f>
        <v>2</v>
      </c>
      <c r="J118" s="320" t="s">
        <v>1029</v>
      </c>
      <c r="K118" s="398" t="str">
        <f>IF(J118="","",IF(VLOOKUP(J118,'G-7 WaterC'' Data'!$AK$4:$AM$6,2,FALSE)=0,"Spatial Data Missing ⚠",VLOOKUP(J118,'G-7 WaterC'' Data'!$AK$4:$AM$6,2,FALSE)))</f>
        <v xml:space="preserve">High strategic significance </v>
      </c>
      <c r="L118" s="368">
        <f>IF(J118="","",IF(VLOOKUP(J118,'G-7 WaterC'' Data'!$AK$4:$AM$9,3,FALSE)=0,"Spatial Data Missing ⚠",VLOOKUP(J118,'G-7 WaterC'' Data'!$AK$4:$AM$6,3,FALSE)))</f>
        <v>1.1499999999999999</v>
      </c>
      <c r="M118" s="54" t="s">
        <v>1126</v>
      </c>
      <c r="N118" s="363">
        <f>IF(M118="","",IF(VLOOKUP(M118,'G-7 WaterC'' Data'!$AA$4:$AB$7,2,FALSE)=0,"Spatial Data Missing ⚠",VLOOKUP(M118,'G-7 WaterC'' Data'!$AA$4:$AB$7,2,FALSE)))</f>
        <v>1</v>
      </c>
      <c r="O118" s="60" t="s">
        <v>1127</v>
      </c>
      <c r="P118" s="363">
        <f>IF(O118="","",IF(VLOOKUP(O118,'G-7 WaterC'' Data'!$AD$4:$AE$14,2,FALSE)=0,"Spatial Data Missing ⚠",VLOOKUP(O118,'G-7 WaterC'' Data'!$AD$4:$AE$14,2,FALSE)))</f>
        <v>0.75</v>
      </c>
      <c r="Q118" s="369" t="str">
        <f>IF(D118="","",VLOOKUP(D118,'G-7 WaterC'' Data'!$B$2:$G$8,6,FALSE))</f>
        <v>Same habitat required =</v>
      </c>
      <c r="R118" s="376">
        <f>IFERROR(IF(D118="","",IF(AND(Q118='G-1 All Habitats'!$X$3,U118&gt;0),V118+W118,IF(AND(Q118='G-1 All Habitats'!$X$3,T118&gt;0),V118+W118,IF(AND(Q118='G-1 All Habitats'!$X$3,AD118&gt;0),"Any Loss Unacceptable ⚠",IF(AND(Q118='G-1 All Habitats'!$X$3,AE118&gt;0),"Any Loss Unacceptable ⚠", E118*G118*I118*L118*N118*P118 ))))),"Check Data ▲")</f>
        <v>15.542458964940227</v>
      </c>
      <c r="S118" s="32"/>
      <c r="T118" s="114">
        <v>0</v>
      </c>
      <c r="U118" s="125">
        <v>1.5016868565159642</v>
      </c>
      <c r="V118" s="374">
        <f t="shared" si="7"/>
        <v>0</v>
      </c>
      <c r="W118" s="374">
        <f t="shared" si="8"/>
        <v>15.542458964940227</v>
      </c>
      <c r="X118" s="374">
        <f t="shared" si="9"/>
        <v>0</v>
      </c>
      <c r="Y118" s="670">
        <f t="shared" si="10"/>
        <v>0</v>
      </c>
      <c r="Z118" s="706"/>
      <c r="AA118" s="704"/>
      <c r="AB118" s="120"/>
      <c r="AC118" s="120" t="s">
        <v>2110</v>
      </c>
      <c r="AD118" s="57" t="str">
        <f>IF(Q118="","",IF(Q118='G-1 All Habitats'!$X$3,E118-T118-U118,"None"))</f>
        <v>None</v>
      </c>
      <c r="AE118" s="58" t="str">
        <f>IF(Q118="","", IF(Q118='G-1 All Habitats'!$X$3, AD118*G118*I118*L118*N118*P118,"None"))</f>
        <v>None</v>
      </c>
      <c r="AH118" s="30">
        <f t="shared" si="11"/>
        <v>0</v>
      </c>
      <c r="AI118" s="124" t="b">
        <f t="shared" si="12"/>
        <v>0</v>
      </c>
      <c r="AJ118" s="124" t="b">
        <f t="shared" si="13"/>
        <v>1</v>
      </c>
      <c r="AL118" s="124">
        <v>109</v>
      </c>
      <c r="AN118" s="124" t="str">
        <f t="array" ref="AN118">IFERROR(INDEX($AL$10:$AL$258, MATCH(0, IF(TRUE=$AI$10:$AI$258, COUNTIF($AN$9:$AN117, $AL$10:$AL$258), ""), 0)),"")</f>
        <v/>
      </c>
      <c r="AO118" s="124">
        <f t="array" ref="AO118">IFERROR(INDEX($AL$10:$AL$258, MATCH(0, IF(TRUE=$AJ$10:$AJ$258, COUNTIF($AO$9:$AO117, $AL$10:$AL$258), ""), 0)),"")</f>
        <v>115</v>
      </c>
      <c r="AQ118" s="30" t="str">
        <f>IFERROR(INDEX('G-7 WaterC'' Data'!$AZ$3:$AZ$7,MATCH(D118,'G-7 WaterC'' Data'!$AY$3:$AY$7,0)),"")</f>
        <v>Rivercond1</v>
      </c>
      <c r="AR118" s="30" t="str">
        <f>IFERROR(INDEX('G-7 WaterC'' Data'!AZ118:AZ122,MATCH(D118,'G-7 WaterC'' Data'!$AY$10:$AY$14,0)),"")</f>
        <v/>
      </c>
    </row>
    <row r="119" spans="3:44" ht="28.5" x14ac:dyDescent="0.2">
      <c r="C119" s="110">
        <v>110</v>
      </c>
      <c r="D119" s="338" t="s">
        <v>197</v>
      </c>
      <c r="E119" s="139">
        <v>0.87237077395914864</v>
      </c>
      <c r="F119" s="362" t="str">
        <f>IF(D119="","",VLOOKUP(D119,'G-7 WaterC'' Data'!$B$2:$G$8,2,FALSE))</f>
        <v>High</v>
      </c>
      <c r="G119" s="363">
        <f>IFERROR(VLOOKUP(F119,'G-7 WaterC'' Data'!$C$4:$D$8,2,FALSE),"")</f>
        <v>6</v>
      </c>
      <c r="H119" s="114" t="s">
        <v>67</v>
      </c>
      <c r="I119" s="363">
        <f>IFERROR(INDEX('G-7 WaterC'' Data'!$H$4:$L$8,MATCH(D119,'G-7 WaterC'' Data'!$B$4:$B$8,0),MATCH(H119,'G-7 WaterC'' Data'!$H$3:$L$3,0)),"")</f>
        <v>2</v>
      </c>
      <c r="J119" s="320" t="s">
        <v>1029</v>
      </c>
      <c r="K119" s="398" t="str">
        <f>IF(J119="","",IF(VLOOKUP(J119,'G-7 WaterC'' Data'!$AK$4:$AM$6,2,FALSE)=0,"Spatial Data Missing ⚠",VLOOKUP(J119,'G-7 WaterC'' Data'!$AK$4:$AM$6,2,FALSE)))</f>
        <v xml:space="preserve">High strategic significance </v>
      </c>
      <c r="L119" s="368">
        <f>IF(J119="","",IF(VLOOKUP(J119,'G-7 WaterC'' Data'!$AK$4:$AM$9,3,FALSE)=0,"Spatial Data Missing ⚠",VLOOKUP(J119,'G-7 WaterC'' Data'!$AK$4:$AM$6,3,FALSE)))</f>
        <v>1.1499999999999999</v>
      </c>
      <c r="M119" s="54" t="s">
        <v>1126</v>
      </c>
      <c r="N119" s="363">
        <f>IF(M119="","",IF(VLOOKUP(M119,'G-7 WaterC'' Data'!$AA$4:$AB$7,2,FALSE)=0,"Spatial Data Missing ⚠",VLOOKUP(M119,'G-7 WaterC'' Data'!$AA$4:$AB$7,2,FALSE)))</f>
        <v>1</v>
      </c>
      <c r="O119" s="60" t="s">
        <v>1127</v>
      </c>
      <c r="P119" s="363">
        <f>IF(O119="","",IF(VLOOKUP(O119,'G-7 WaterC'' Data'!$AD$4:$AE$14,2,FALSE)=0,"Spatial Data Missing ⚠",VLOOKUP(O119,'G-7 WaterC'' Data'!$AD$4:$AE$14,2,FALSE)))</f>
        <v>0.75</v>
      </c>
      <c r="Q119" s="369" t="str">
        <f>IF(D119="","",VLOOKUP(D119,'G-7 WaterC'' Data'!$B$2:$G$8,6,FALSE))</f>
        <v>Same habitat required =</v>
      </c>
      <c r="R119" s="376">
        <f>IFERROR(IF(D119="","",IF(AND(Q119='G-1 All Habitats'!$X$3,U119&gt;0),V119+W119,IF(AND(Q119='G-1 All Habitats'!$X$3,T119&gt;0),V119+W119,IF(AND(Q119='G-1 All Habitats'!$X$3,AD119&gt;0),"Any Loss Unacceptable ⚠",IF(AND(Q119='G-1 All Habitats'!$X$3,AE119&gt;0),"Any Loss Unacceptable ⚠", E119*G119*I119*L119*N119*P119 ))))),"Check Data ▲")</f>
        <v>9.0290375104771883</v>
      </c>
      <c r="S119" s="32"/>
      <c r="T119" s="114">
        <v>0</v>
      </c>
      <c r="U119" s="125">
        <v>0.87237077395914864</v>
      </c>
      <c r="V119" s="374">
        <f t="shared" si="7"/>
        <v>0</v>
      </c>
      <c r="W119" s="374">
        <f t="shared" si="8"/>
        <v>9.0290375104771883</v>
      </c>
      <c r="X119" s="374">
        <f t="shared" si="9"/>
        <v>0</v>
      </c>
      <c r="Y119" s="670">
        <f t="shared" si="10"/>
        <v>0</v>
      </c>
      <c r="Z119" s="706"/>
      <c r="AA119" s="704"/>
      <c r="AB119" s="120"/>
      <c r="AC119" s="120" t="s">
        <v>2111</v>
      </c>
      <c r="AD119" s="57" t="str">
        <f>IF(Q119="","",IF(Q119='G-1 All Habitats'!$X$3,E119-T119-U119,"None"))</f>
        <v>None</v>
      </c>
      <c r="AE119" s="58" t="str">
        <f>IF(Q119="","", IF(Q119='G-1 All Habitats'!$X$3, AD119*G119*I119*L119*N119*P119,"None"))</f>
        <v>None</v>
      </c>
      <c r="AH119" s="30">
        <f t="shared" si="11"/>
        <v>0</v>
      </c>
      <c r="AI119" s="124" t="b">
        <f t="shared" si="12"/>
        <v>0</v>
      </c>
      <c r="AJ119" s="124" t="b">
        <f t="shared" si="13"/>
        <v>1</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Rivercond1</v>
      </c>
      <c r="AR119" s="30" t="str">
        <f>IFERROR(INDEX('G-7 WaterC'' Data'!AZ119:AZ123,MATCH(D119,'G-7 WaterC'' Data'!$AY$10:$AY$14,0)),"")</f>
        <v/>
      </c>
    </row>
    <row r="120" spans="3:44" ht="28.5" x14ac:dyDescent="0.2">
      <c r="C120" s="110">
        <v>111</v>
      </c>
      <c r="D120" s="338" t="s">
        <v>197</v>
      </c>
      <c r="E120" s="139">
        <v>0.47216391915759276</v>
      </c>
      <c r="F120" s="362" t="str">
        <f>IF(D120="","",VLOOKUP(D120,'G-7 WaterC'' Data'!$B$2:$G$8,2,FALSE))</f>
        <v>High</v>
      </c>
      <c r="G120" s="363">
        <f>IFERROR(VLOOKUP(F120,'G-7 WaterC'' Data'!$C$4:$D$8,2,FALSE),"")</f>
        <v>6</v>
      </c>
      <c r="H120" s="114" t="s">
        <v>67</v>
      </c>
      <c r="I120" s="363">
        <f>IFERROR(INDEX('G-7 WaterC'' Data'!$H$4:$L$8,MATCH(D120,'G-7 WaterC'' Data'!$B$4:$B$8,0),MATCH(H120,'G-7 WaterC'' Data'!$H$3:$L$3,0)),"")</f>
        <v>2</v>
      </c>
      <c r="J120" s="320" t="s">
        <v>1029</v>
      </c>
      <c r="K120" s="398" t="str">
        <f>IF(J120="","",IF(VLOOKUP(J120,'G-7 WaterC'' Data'!$AK$4:$AM$6,2,FALSE)=0,"Spatial Data Missing ⚠",VLOOKUP(J120,'G-7 WaterC'' Data'!$AK$4:$AM$6,2,FALSE)))</f>
        <v xml:space="preserve">High strategic significance </v>
      </c>
      <c r="L120" s="368">
        <f>IF(J120="","",IF(VLOOKUP(J120,'G-7 WaterC'' Data'!$AK$4:$AM$9,3,FALSE)=0,"Spatial Data Missing ⚠",VLOOKUP(J120,'G-7 WaterC'' Data'!$AK$4:$AM$6,3,FALSE)))</f>
        <v>1.1499999999999999</v>
      </c>
      <c r="M120" s="54" t="s">
        <v>1126</v>
      </c>
      <c r="N120" s="363">
        <f>IF(M120="","",IF(VLOOKUP(M120,'G-7 WaterC'' Data'!$AA$4:$AB$7,2,FALSE)=0,"Spatial Data Missing ⚠",VLOOKUP(M120,'G-7 WaterC'' Data'!$AA$4:$AB$7,2,FALSE)))</f>
        <v>1</v>
      </c>
      <c r="O120" s="60" t="s">
        <v>1127</v>
      </c>
      <c r="P120" s="363">
        <f>IF(O120="","",IF(VLOOKUP(O120,'G-7 WaterC'' Data'!$AD$4:$AE$14,2,FALSE)=0,"Spatial Data Missing ⚠",VLOOKUP(O120,'G-7 WaterC'' Data'!$AD$4:$AE$14,2,FALSE)))</f>
        <v>0.75</v>
      </c>
      <c r="Q120" s="369" t="str">
        <f>IF(D120="","",VLOOKUP(D120,'G-7 WaterC'' Data'!$B$2:$G$8,6,FALSE))</f>
        <v>Same habitat required =</v>
      </c>
      <c r="R120" s="376">
        <f>IFERROR(IF(D120="","",IF(AND(Q120='G-1 All Habitats'!$X$3,U120&gt;0),V120+W120,IF(AND(Q120='G-1 All Habitats'!$X$3,T120&gt;0),V120+W120,IF(AND(Q120='G-1 All Habitats'!$X$3,AD120&gt;0),"Any Loss Unacceptable ⚠",IF(AND(Q120='G-1 All Habitats'!$X$3,AE120&gt;0),"Any Loss Unacceptable ⚠", E120*G120*I120*L120*N120*P120 ))))),"Check Data ▲")</f>
        <v>4.8868965632810841</v>
      </c>
      <c r="S120" s="32"/>
      <c r="T120" s="114">
        <v>0</v>
      </c>
      <c r="U120" s="125">
        <v>0.47216391915759276</v>
      </c>
      <c r="V120" s="374">
        <f t="shared" si="7"/>
        <v>0</v>
      </c>
      <c r="W120" s="374">
        <f t="shared" si="8"/>
        <v>4.8868965632810841</v>
      </c>
      <c r="X120" s="374">
        <f t="shared" si="9"/>
        <v>0</v>
      </c>
      <c r="Y120" s="670">
        <f t="shared" si="10"/>
        <v>0</v>
      </c>
      <c r="Z120" s="706"/>
      <c r="AA120" s="704"/>
      <c r="AB120" s="120"/>
      <c r="AC120" s="120" t="s">
        <v>2112</v>
      </c>
      <c r="AD120" s="57" t="str">
        <f>IF(Q120="","",IF(Q120='G-1 All Habitats'!$X$3,E120-T120-U120,"None"))</f>
        <v>None</v>
      </c>
      <c r="AE120" s="58" t="str">
        <f>IF(Q120="","", IF(Q120='G-1 All Habitats'!$X$3, AD120*G120*I120*L120*N120*P120,"None"))</f>
        <v>None</v>
      </c>
      <c r="AH120" s="30">
        <f t="shared" si="11"/>
        <v>0</v>
      </c>
      <c r="AI120" s="124" t="b">
        <f t="shared" si="12"/>
        <v>0</v>
      </c>
      <c r="AJ120" s="124" t="b">
        <f t="shared" si="13"/>
        <v>1</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Rivercond1</v>
      </c>
      <c r="AR120" s="30" t="str">
        <f>IFERROR(INDEX('G-7 WaterC'' Data'!AZ120:AZ124,MATCH(D120,'G-7 WaterC'' Data'!$AY$10:$AY$14,0)),"")</f>
        <v/>
      </c>
    </row>
    <row r="121" spans="3:44" ht="28.5" x14ac:dyDescent="0.2">
      <c r="C121" s="110">
        <v>112</v>
      </c>
      <c r="D121" s="338" t="s">
        <v>197</v>
      </c>
      <c r="E121" s="139">
        <v>0.19141720175285984</v>
      </c>
      <c r="F121" s="362" t="str">
        <f>IF(D121="","",VLOOKUP(D121,'G-7 WaterC'' Data'!$B$2:$G$8,2,FALSE))</f>
        <v>High</v>
      </c>
      <c r="G121" s="363">
        <f>IFERROR(VLOOKUP(F121,'G-7 WaterC'' Data'!$C$4:$D$8,2,FALSE),"")</f>
        <v>6</v>
      </c>
      <c r="H121" s="114" t="s">
        <v>67</v>
      </c>
      <c r="I121" s="363">
        <f>IFERROR(INDEX('G-7 WaterC'' Data'!$H$4:$L$8,MATCH(D121,'G-7 WaterC'' Data'!$B$4:$B$8,0),MATCH(H121,'G-7 WaterC'' Data'!$H$3:$L$3,0)),"")</f>
        <v>2</v>
      </c>
      <c r="J121" s="320" t="s">
        <v>1029</v>
      </c>
      <c r="K121" s="398" t="str">
        <f>IF(J121="","",IF(VLOOKUP(J121,'G-7 WaterC'' Data'!$AK$4:$AM$6,2,FALSE)=0,"Spatial Data Missing ⚠",VLOOKUP(J121,'G-7 WaterC'' Data'!$AK$4:$AM$6,2,FALSE)))</f>
        <v xml:space="preserve">High strategic significance </v>
      </c>
      <c r="L121" s="368">
        <f>IF(J121="","",IF(VLOOKUP(J121,'G-7 WaterC'' Data'!$AK$4:$AM$9,3,FALSE)=0,"Spatial Data Missing ⚠",VLOOKUP(J121,'G-7 WaterC'' Data'!$AK$4:$AM$6,3,FALSE)))</f>
        <v>1.1499999999999999</v>
      </c>
      <c r="M121" s="54" t="s">
        <v>1126</v>
      </c>
      <c r="N121" s="363">
        <f>IF(M121="","",IF(VLOOKUP(M121,'G-7 WaterC'' Data'!$AA$4:$AB$7,2,FALSE)=0,"Spatial Data Missing ⚠",VLOOKUP(M121,'G-7 WaterC'' Data'!$AA$4:$AB$7,2,FALSE)))</f>
        <v>1</v>
      </c>
      <c r="O121" s="60" t="s">
        <v>1127</v>
      </c>
      <c r="P121" s="363">
        <f>IF(O121="","",IF(VLOOKUP(O121,'G-7 WaterC'' Data'!$AD$4:$AE$14,2,FALSE)=0,"Spatial Data Missing ⚠",VLOOKUP(O121,'G-7 WaterC'' Data'!$AD$4:$AE$14,2,FALSE)))</f>
        <v>0.75</v>
      </c>
      <c r="Q121" s="369" t="str">
        <f>IF(D121="","",VLOOKUP(D121,'G-7 WaterC'' Data'!$B$2:$G$8,6,FALSE))</f>
        <v>Same habitat required =</v>
      </c>
      <c r="R121" s="376">
        <f>IFERROR(IF(D121="","",IF(AND(Q121='G-1 All Habitats'!$X$3,U121&gt;0),V121+W121,IF(AND(Q121='G-1 All Habitats'!$X$3,T121&gt;0),V121+W121,IF(AND(Q121='G-1 All Habitats'!$X$3,AD121&gt;0),"Any Loss Unacceptable ⚠",IF(AND(Q121='G-1 All Habitats'!$X$3,AE121&gt;0),"Any Loss Unacceptable ⚠", E121*G121*I121*L121*N121*P121 ))))),"Check Data ▲")</f>
        <v>1.9811680381420993</v>
      </c>
      <c r="S121" s="32"/>
      <c r="T121" s="114">
        <v>0</v>
      </c>
      <c r="U121" s="125">
        <v>0.19141720175285984</v>
      </c>
      <c r="V121" s="374">
        <f t="shared" si="7"/>
        <v>0</v>
      </c>
      <c r="W121" s="374">
        <f t="shared" si="8"/>
        <v>1.9811680381420993</v>
      </c>
      <c r="X121" s="374">
        <f t="shared" si="9"/>
        <v>0</v>
      </c>
      <c r="Y121" s="670">
        <f t="shared" si="10"/>
        <v>0</v>
      </c>
      <c r="Z121" s="706"/>
      <c r="AA121" s="704"/>
      <c r="AB121" s="120"/>
      <c r="AC121" s="120" t="s">
        <v>2113</v>
      </c>
      <c r="AD121" s="57" t="str">
        <f>IF(Q121="","",IF(Q121='G-1 All Habitats'!$X$3,E121-T121-U121,"None"))</f>
        <v>None</v>
      </c>
      <c r="AE121" s="58" t="str">
        <f>IF(Q121="","", IF(Q121='G-1 All Habitats'!$X$3, AD121*G121*I121*L121*N121*P121,"None"))</f>
        <v>None</v>
      </c>
      <c r="AH121" s="30">
        <f t="shared" si="11"/>
        <v>0</v>
      </c>
      <c r="AI121" s="124" t="b">
        <f t="shared" si="12"/>
        <v>0</v>
      </c>
      <c r="AJ121" s="124" t="b">
        <f t="shared" si="13"/>
        <v>1</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Rivercond1</v>
      </c>
      <c r="AR121" s="30" t="str">
        <f>IFERROR(INDEX('G-7 WaterC'' Data'!AZ121:AZ125,MATCH(D121,'G-7 WaterC'' Data'!$AY$10:$AY$14,0)),"")</f>
        <v/>
      </c>
    </row>
    <row r="122" spans="3:44" ht="28.5" x14ac:dyDescent="0.2">
      <c r="C122" s="110">
        <v>113</v>
      </c>
      <c r="D122" s="338" t="s">
        <v>197</v>
      </c>
      <c r="E122" s="139">
        <v>0.26349330120452152</v>
      </c>
      <c r="F122" s="362" t="str">
        <f>IF(D122="","",VLOOKUP(D122,'G-7 WaterC'' Data'!$B$2:$G$8,2,FALSE))</f>
        <v>High</v>
      </c>
      <c r="G122" s="363">
        <f>IFERROR(VLOOKUP(F122,'G-7 WaterC'' Data'!$C$4:$D$8,2,FALSE),"")</f>
        <v>6</v>
      </c>
      <c r="H122" s="114" t="s">
        <v>67</v>
      </c>
      <c r="I122" s="363">
        <f>IFERROR(INDEX('G-7 WaterC'' Data'!$H$4:$L$8,MATCH(D122,'G-7 WaterC'' Data'!$B$4:$B$8,0),MATCH(H122,'G-7 WaterC'' Data'!$H$3:$L$3,0)),"")</f>
        <v>2</v>
      </c>
      <c r="J122" s="320" t="s">
        <v>1029</v>
      </c>
      <c r="K122" s="398" t="str">
        <f>IF(J122="","",IF(VLOOKUP(J122,'G-7 WaterC'' Data'!$AK$4:$AM$6,2,FALSE)=0,"Spatial Data Missing ⚠",VLOOKUP(J122,'G-7 WaterC'' Data'!$AK$4:$AM$6,2,FALSE)))</f>
        <v xml:space="preserve">High strategic significance </v>
      </c>
      <c r="L122" s="368">
        <f>IF(J122="","",IF(VLOOKUP(J122,'G-7 WaterC'' Data'!$AK$4:$AM$9,3,FALSE)=0,"Spatial Data Missing ⚠",VLOOKUP(J122,'G-7 WaterC'' Data'!$AK$4:$AM$6,3,FALSE)))</f>
        <v>1.1499999999999999</v>
      </c>
      <c r="M122" s="54" t="s">
        <v>1126</v>
      </c>
      <c r="N122" s="363">
        <f>IF(M122="","",IF(VLOOKUP(M122,'G-7 WaterC'' Data'!$AA$4:$AB$7,2,FALSE)=0,"Spatial Data Missing ⚠",VLOOKUP(M122,'G-7 WaterC'' Data'!$AA$4:$AB$7,2,FALSE)))</f>
        <v>1</v>
      </c>
      <c r="O122" s="60" t="s">
        <v>1127</v>
      </c>
      <c r="P122" s="363">
        <f>IF(O122="","",IF(VLOOKUP(O122,'G-7 WaterC'' Data'!$AD$4:$AE$14,2,FALSE)=0,"Spatial Data Missing ⚠",VLOOKUP(O122,'G-7 WaterC'' Data'!$AD$4:$AE$14,2,FALSE)))</f>
        <v>0.75</v>
      </c>
      <c r="Q122" s="369" t="str">
        <f>IF(D122="","",VLOOKUP(D122,'G-7 WaterC'' Data'!$B$2:$G$8,6,FALSE))</f>
        <v>Same habitat required =</v>
      </c>
      <c r="R122" s="376">
        <f>IFERROR(IF(D122="","",IF(AND(Q122='G-1 All Habitats'!$X$3,U122&gt;0),V122+W122,IF(AND(Q122='G-1 All Habitats'!$X$3,T122&gt;0),V122+W122,IF(AND(Q122='G-1 All Habitats'!$X$3,AD122&gt;0),"Any Loss Unacceptable ⚠",IF(AND(Q122='G-1 All Habitats'!$X$3,AE122&gt;0),"Any Loss Unacceptable ⚠", E122*G122*I122*L122*N122*P122 ))))),"Check Data ▲")</f>
        <v>2.7271556674667976</v>
      </c>
      <c r="S122" s="32"/>
      <c r="T122" s="114">
        <v>0</v>
      </c>
      <c r="U122" s="125">
        <v>0.26349330120452152</v>
      </c>
      <c r="V122" s="374">
        <f t="shared" si="7"/>
        <v>0</v>
      </c>
      <c r="W122" s="374">
        <f t="shared" si="8"/>
        <v>2.7271556674667976</v>
      </c>
      <c r="X122" s="374">
        <f t="shared" si="9"/>
        <v>0</v>
      </c>
      <c r="Y122" s="670">
        <f t="shared" si="10"/>
        <v>0</v>
      </c>
      <c r="Z122" s="706"/>
      <c r="AA122" s="704"/>
      <c r="AB122" s="120"/>
      <c r="AC122" s="120" t="s">
        <v>2114</v>
      </c>
      <c r="AD122" s="57" t="str">
        <f>IF(Q122="","",IF(Q122='G-1 All Habitats'!$X$3,E122-T122-U122,"None"))</f>
        <v>None</v>
      </c>
      <c r="AE122" s="58" t="str">
        <f>IF(Q122="","", IF(Q122='G-1 All Habitats'!$X$3, AD122*G122*I122*L122*N122*P122,"None"))</f>
        <v>None</v>
      </c>
      <c r="AH122" s="30">
        <f t="shared" si="11"/>
        <v>0</v>
      </c>
      <c r="AI122" s="124" t="b">
        <f t="shared" si="12"/>
        <v>0</v>
      </c>
      <c r="AJ122" s="124" t="b">
        <f t="shared" si="13"/>
        <v>1</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Rivercond1</v>
      </c>
      <c r="AR122" s="30" t="str">
        <f>IFERROR(INDEX('G-7 WaterC'' Data'!AZ122:AZ126,MATCH(D122,'G-7 WaterC'' Data'!$AY$10:$AY$14,0)),"")</f>
        <v/>
      </c>
    </row>
    <row r="123" spans="3:44" ht="28.5" x14ac:dyDescent="0.2">
      <c r="C123" s="110">
        <v>114</v>
      </c>
      <c r="D123" s="338" t="s">
        <v>197</v>
      </c>
      <c r="E123" s="139">
        <v>9.7985430655015249E-2</v>
      </c>
      <c r="F123" s="362" t="str">
        <f>IF(D123="","",VLOOKUP(D123,'G-7 WaterC'' Data'!$B$2:$G$8,2,FALSE))</f>
        <v>High</v>
      </c>
      <c r="G123" s="363">
        <f>IFERROR(VLOOKUP(F123,'G-7 WaterC'' Data'!$C$4:$D$8,2,FALSE),"")</f>
        <v>6</v>
      </c>
      <c r="H123" s="114" t="s">
        <v>67</v>
      </c>
      <c r="I123" s="363">
        <f>IFERROR(INDEX('G-7 WaterC'' Data'!$H$4:$L$8,MATCH(D123,'G-7 WaterC'' Data'!$B$4:$B$8,0),MATCH(H123,'G-7 WaterC'' Data'!$H$3:$L$3,0)),"")</f>
        <v>2</v>
      </c>
      <c r="J123" s="320" t="s">
        <v>1029</v>
      </c>
      <c r="K123" s="398" t="str">
        <f>IF(J123="","",IF(VLOOKUP(J123,'G-7 WaterC'' Data'!$AK$4:$AM$6,2,FALSE)=0,"Spatial Data Missing ⚠",VLOOKUP(J123,'G-7 WaterC'' Data'!$AK$4:$AM$6,2,FALSE)))</f>
        <v xml:space="preserve">High strategic significance </v>
      </c>
      <c r="L123" s="368">
        <f>IF(J123="","",IF(VLOOKUP(J123,'G-7 WaterC'' Data'!$AK$4:$AM$9,3,FALSE)=0,"Spatial Data Missing ⚠",VLOOKUP(J123,'G-7 WaterC'' Data'!$AK$4:$AM$6,3,FALSE)))</f>
        <v>1.1499999999999999</v>
      </c>
      <c r="M123" s="54" t="s">
        <v>1126</v>
      </c>
      <c r="N123" s="363">
        <f>IF(M123="","",IF(VLOOKUP(M123,'G-7 WaterC'' Data'!$AA$4:$AB$7,2,FALSE)=0,"Spatial Data Missing ⚠",VLOOKUP(M123,'G-7 WaterC'' Data'!$AA$4:$AB$7,2,FALSE)))</f>
        <v>1</v>
      </c>
      <c r="O123" s="60" t="s">
        <v>1127</v>
      </c>
      <c r="P123" s="363">
        <f>IF(O123="","",IF(VLOOKUP(O123,'G-7 WaterC'' Data'!$AD$4:$AE$14,2,FALSE)=0,"Spatial Data Missing ⚠",VLOOKUP(O123,'G-7 WaterC'' Data'!$AD$4:$AE$14,2,FALSE)))</f>
        <v>0.75</v>
      </c>
      <c r="Q123" s="369" t="str">
        <f>IF(D123="","",VLOOKUP(D123,'G-7 WaterC'' Data'!$B$2:$G$8,6,FALSE))</f>
        <v>Same habitat required =</v>
      </c>
      <c r="R123" s="376">
        <f>IFERROR(IF(D123="","",IF(AND(Q123='G-1 All Habitats'!$X$3,U123&gt;0),V123+W123,IF(AND(Q123='G-1 All Habitats'!$X$3,T123&gt;0),V123+W123,IF(AND(Q123='G-1 All Habitats'!$X$3,AD123&gt;0),"Any Loss Unacceptable ⚠",IF(AND(Q123='G-1 All Habitats'!$X$3,AE123&gt;0),"Any Loss Unacceptable ⚠", E123*G123*I123*L123*N123*P123 ))))),"Check Data ▲")</f>
        <v>1.0141492072794076</v>
      </c>
      <c r="S123" s="32"/>
      <c r="T123" s="114">
        <v>0</v>
      </c>
      <c r="U123" s="125">
        <v>9.7985430655015249E-2</v>
      </c>
      <c r="V123" s="374">
        <f t="shared" si="7"/>
        <v>0</v>
      </c>
      <c r="W123" s="374">
        <f t="shared" si="8"/>
        <v>1.0141492072794076</v>
      </c>
      <c r="X123" s="374">
        <f t="shared" si="9"/>
        <v>0</v>
      </c>
      <c r="Y123" s="670">
        <f t="shared" si="10"/>
        <v>0</v>
      </c>
      <c r="Z123" s="706"/>
      <c r="AA123" s="704"/>
      <c r="AB123" s="120"/>
      <c r="AC123" s="120" t="s">
        <v>2115</v>
      </c>
      <c r="AD123" s="57" t="str">
        <f>IF(Q123="","",IF(Q123='G-1 All Habitats'!$X$3,E123-T123-U123,"None"))</f>
        <v>None</v>
      </c>
      <c r="AE123" s="58" t="str">
        <f>IF(Q123="","", IF(Q123='G-1 All Habitats'!$X$3, AD123*G123*I123*L123*N123*P123,"None"))</f>
        <v>None</v>
      </c>
      <c r="AH123" s="30">
        <f t="shared" si="11"/>
        <v>0</v>
      </c>
      <c r="AI123" s="124" t="b">
        <f t="shared" si="12"/>
        <v>0</v>
      </c>
      <c r="AJ123" s="124" t="b">
        <f t="shared" si="13"/>
        <v>1</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Rivercond1</v>
      </c>
      <c r="AR123" s="30" t="str">
        <f>IFERROR(INDEX('G-7 WaterC'' Data'!AZ123:AZ127,MATCH(D123,'G-7 WaterC'' Data'!$AY$10:$AY$14,0)),"")</f>
        <v/>
      </c>
    </row>
    <row r="124" spans="3:44" ht="28.5" x14ac:dyDescent="0.2">
      <c r="C124" s="110">
        <v>115</v>
      </c>
      <c r="D124" s="338" t="s">
        <v>197</v>
      </c>
      <c r="E124" s="139">
        <v>0.1683747542696345</v>
      </c>
      <c r="F124" s="362" t="str">
        <f>IF(D124="","",VLOOKUP(D124,'G-7 WaterC'' Data'!$B$2:$G$8,2,FALSE))</f>
        <v>High</v>
      </c>
      <c r="G124" s="363">
        <f>IFERROR(VLOOKUP(F124,'G-7 WaterC'' Data'!$C$4:$D$8,2,FALSE),"")</f>
        <v>6</v>
      </c>
      <c r="H124" s="114" t="s">
        <v>67</v>
      </c>
      <c r="I124" s="363">
        <f>IFERROR(INDEX('G-7 WaterC'' Data'!$H$4:$L$8,MATCH(D124,'G-7 WaterC'' Data'!$B$4:$B$8,0),MATCH(H124,'G-7 WaterC'' Data'!$H$3:$L$3,0)),"")</f>
        <v>2</v>
      </c>
      <c r="J124" s="320" t="s">
        <v>1029</v>
      </c>
      <c r="K124" s="398" t="str">
        <f>IF(J124="","",IF(VLOOKUP(J124,'G-7 WaterC'' Data'!$AK$4:$AM$6,2,FALSE)=0,"Spatial Data Missing ⚠",VLOOKUP(J124,'G-7 WaterC'' Data'!$AK$4:$AM$6,2,FALSE)))</f>
        <v xml:space="preserve">High strategic significance </v>
      </c>
      <c r="L124" s="368">
        <f>IF(J124="","",IF(VLOOKUP(J124,'G-7 WaterC'' Data'!$AK$4:$AM$9,3,FALSE)=0,"Spatial Data Missing ⚠",VLOOKUP(J124,'G-7 WaterC'' Data'!$AK$4:$AM$6,3,FALSE)))</f>
        <v>1.1499999999999999</v>
      </c>
      <c r="M124" s="54" t="s">
        <v>1126</v>
      </c>
      <c r="N124" s="363">
        <f>IF(M124="","",IF(VLOOKUP(M124,'G-7 WaterC'' Data'!$AA$4:$AB$7,2,FALSE)=0,"Spatial Data Missing ⚠",VLOOKUP(M124,'G-7 WaterC'' Data'!$AA$4:$AB$7,2,FALSE)))</f>
        <v>1</v>
      </c>
      <c r="O124" s="60" t="s">
        <v>1127</v>
      </c>
      <c r="P124" s="363">
        <f>IF(O124="","",IF(VLOOKUP(O124,'G-7 WaterC'' Data'!$AD$4:$AE$14,2,FALSE)=0,"Spatial Data Missing ⚠",VLOOKUP(O124,'G-7 WaterC'' Data'!$AD$4:$AE$14,2,FALSE)))</f>
        <v>0.75</v>
      </c>
      <c r="Q124" s="369" t="str">
        <f>IF(D124="","",VLOOKUP(D124,'G-7 WaterC'' Data'!$B$2:$G$8,6,FALSE))</f>
        <v>Same habitat required =</v>
      </c>
      <c r="R124" s="376">
        <f>IFERROR(IF(D124="","",IF(AND(Q124='G-1 All Habitats'!$X$3,U124&gt;0),V124+W124,IF(AND(Q124='G-1 All Habitats'!$X$3,T124&gt;0),V124+W124,IF(AND(Q124='G-1 All Habitats'!$X$3,AD124&gt;0),"Any Loss Unacceptable ⚠",IF(AND(Q124='G-1 All Habitats'!$X$3,AE124&gt;0),"Any Loss Unacceptable ⚠", E124*G124*I124*L124*N124*P124 ))))),"Check Data ▲")</f>
        <v>1.7426787066907168</v>
      </c>
      <c r="S124" s="32"/>
      <c r="T124" s="114">
        <v>0</v>
      </c>
      <c r="U124" s="125">
        <v>0.1683747542696345</v>
      </c>
      <c r="V124" s="374">
        <f t="shared" si="7"/>
        <v>0</v>
      </c>
      <c r="W124" s="374">
        <f t="shared" si="8"/>
        <v>1.7426787066907168</v>
      </c>
      <c r="X124" s="374">
        <f t="shared" si="9"/>
        <v>0</v>
      </c>
      <c r="Y124" s="670">
        <f t="shared" si="10"/>
        <v>0</v>
      </c>
      <c r="Z124" s="706"/>
      <c r="AA124" s="704"/>
      <c r="AB124" s="120"/>
      <c r="AC124" s="120" t="s">
        <v>2116</v>
      </c>
      <c r="AD124" s="57" t="str">
        <f>IF(Q124="","",IF(Q124='G-1 All Habitats'!$X$3,E124-T124-U124,"None"))</f>
        <v>None</v>
      </c>
      <c r="AE124" s="58" t="str">
        <f>IF(Q124="","", IF(Q124='G-1 All Habitats'!$X$3, AD124*G124*I124*L124*N124*P124,"None"))</f>
        <v>None</v>
      </c>
      <c r="AH124" s="30">
        <f t="shared" si="11"/>
        <v>0</v>
      </c>
      <c r="AI124" s="124" t="b">
        <f t="shared" si="12"/>
        <v>0</v>
      </c>
      <c r="AJ124" s="124" t="b">
        <f t="shared" si="13"/>
        <v>1</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Rivercond1</v>
      </c>
      <c r="AR124" s="30" t="str">
        <f>IFERROR(INDEX('G-7 WaterC'' Data'!AZ124:AZ128,MATCH(D124,'G-7 WaterC'' Data'!$AY$10:$AY$14,0)),"")</f>
        <v/>
      </c>
    </row>
    <row r="125" spans="3:44" ht="14.25" x14ac:dyDescent="0.2">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4.25" x14ac:dyDescent="0.2">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4.25" x14ac:dyDescent="0.2">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4.25" x14ac:dyDescent="0.2">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4.25" x14ac:dyDescent="0.2">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4.25" x14ac:dyDescent="0.2">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4.25" x14ac:dyDescent="0.2">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4.25" x14ac:dyDescent="0.2">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4.25" x14ac:dyDescent="0.2">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4.25" x14ac:dyDescent="0.2">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4.25" x14ac:dyDescent="0.2">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4.25" x14ac:dyDescent="0.2">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4.25" x14ac:dyDescent="0.2">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4.25" x14ac:dyDescent="0.2">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4.25" x14ac:dyDescent="0.2">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4.25" x14ac:dyDescent="0.2">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4.25" x14ac:dyDescent="0.2">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4.25" x14ac:dyDescent="0.2">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4.25" x14ac:dyDescent="0.2">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4.25" x14ac:dyDescent="0.2">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4.25" x14ac:dyDescent="0.2">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4.25" x14ac:dyDescent="0.2">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4.25" x14ac:dyDescent="0.2">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4.25" x14ac:dyDescent="0.2">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4.25" x14ac:dyDescent="0.2">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4.25" x14ac:dyDescent="0.2">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4.25" x14ac:dyDescent="0.2">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4.25" x14ac:dyDescent="0.2">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4.25" x14ac:dyDescent="0.2">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4.25" x14ac:dyDescent="0.2">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4.25" x14ac:dyDescent="0.2">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4.25" x14ac:dyDescent="0.2">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4.25" x14ac:dyDescent="0.2">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4.25" x14ac:dyDescent="0.2">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4.25" x14ac:dyDescent="0.2">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4.25" x14ac:dyDescent="0.2">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4.25" x14ac:dyDescent="0.2">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4.25" x14ac:dyDescent="0.2">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4.25" x14ac:dyDescent="0.2">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4.25" x14ac:dyDescent="0.2">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4.25" x14ac:dyDescent="0.2">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4.25" x14ac:dyDescent="0.2">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4.25" x14ac:dyDescent="0.2">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4.25" x14ac:dyDescent="0.2">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4.25" x14ac:dyDescent="0.2">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4.25" x14ac:dyDescent="0.2">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4.25" x14ac:dyDescent="0.2">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4.25" x14ac:dyDescent="0.2">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4.25" x14ac:dyDescent="0.2">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4.25" x14ac:dyDescent="0.2">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4.25" x14ac:dyDescent="0.2">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4.25" x14ac:dyDescent="0.2">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4.25" x14ac:dyDescent="0.2">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4.25" x14ac:dyDescent="0.2">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4.25" x14ac:dyDescent="0.2">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4.25" x14ac:dyDescent="0.2">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4.25" x14ac:dyDescent="0.2">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4.25" x14ac:dyDescent="0.2">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4.25" x14ac:dyDescent="0.2">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4.25" x14ac:dyDescent="0.2">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4.25" x14ac:dyDescent="0.2">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4.25" x14ac:dyDescent="0.2">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4.25" x14ac:dyDescent="0.2">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4.25" x14ac:dyDescent="0.2">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4.25" x14ac:dyDescent="0.2">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4.25" x14ac:dyDescent="0.2">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4.25" x14ac:dyDescent="0.2">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4.25" x14ac:dyDescent="0.2">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4.25" x14ac:dyDescent="0.2">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4.25" x14ac:dyDescent="0.2">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4.25" x14ac:dyDescent="0.2">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4.25" x14ac:dyDescent="0.2">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4.25" x14ac:dyDescent="0.2">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4.25" x14ac:dyDescent="0.2">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4.25" x14ac:dyDescent="0.2">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4.25" x14ac:dyDescent="0.2">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4.25" x14ac:dyDescent="0.2">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4.25" x14ac:dyDescent="0.2">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4.25" x14ac:dyDescent="0.2">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4.25" x14ac:dyDescent="0.2">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4.25" x14ac:dyDescent="0.2">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4.25" x14ac:dyDescent="0.2">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4.25" x14ac:dyDescent="0.2">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4.25" x14ac:dyDescent="0.2">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4.25" x14ac:dyDescent="0.2">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4.25" x14ac:dyDescent="0.2">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4.25" x14ac:dyDescent="0.2">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4.25" x14ac:dyDescent="0.2">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4.25" x14ac:dyDescent="0.2">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4.25" x14ac:dyDescent="0.2">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4.25" x14ac:dyDescent="0.2">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4.25" x14ac:dyDescent="0.2">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4.25" x14ac:dyDescent="0.2">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4.25" x14ac:dyDescent="0.2">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4.25" x14ac:dyDescent="0.2">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4.25" x14ac:dyDescent="0.2">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4.25" x14ac:dyDescent="0.2">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4.25" x14ac:dyDescent="0.2">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4.25" x14ac:dyDescent="0.2">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4.25" x14ac:dyDescent="0.2">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4.25" x14ac:dyDescent="0.2">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4.25" x14ac:dyDescent="0.2">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4.25" x14ac:dyDescent="0.2">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4.25" x14ac:dyDescent="0.2">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4.25" x14ac:dyDescent="0.2">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4.25" x14ac:dyDescent="0.2">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4.25" x14ac:dyDescent="0.2">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4.25" x14ac:dyDescent="0.2">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4.25" x14ac:dyDescent="0.2">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4.25" x14ac:dyDescent="0.2">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4.25" x14ac:dyDescent="0.2">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4.25" x14ac:dyDescent="0.2">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4.25" x14ac:dyDescent="0.2">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4.25" x14ac:dyDescent="0.2">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4.25" x14ac:dyDescent="0.2">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4.25" x14ac:dyDescent="0.2">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4.25" x14ac:dyDescent="0.2">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4.25" x14ac:dyDescent="0.2">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4.25" x14ac:dyDescent="0.2">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4.25" x14ac:dyDescent="0.2">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4.25" x14ac:dyDescent="0.2">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4.25" x14ac:dyDescent="0.2">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4.25" x14ac:dyDescent="0.2">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4.25" x14ac:dyDescent="0.2">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4.25" x14ac:dyDescent="0.2">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4.25" x14ac:dyDescent="0.2">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4.25" x14ac:dyDescent="0.2">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4.25" x14ac:dyDescent="0.2">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4.25" x14ac:dyDescent="0.2">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4.25" x14ac:dyDescent="0.2">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4.25" x14ac:dyDescent="0.2">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4.25" x14ac:dyDescent="0.2">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 thickBot="1" x14ac:dyDescent="0.25">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x14ac:dyDescent="0.25">
      <c r="B258" s="30"/>
      <c r="C258" s="34"/>
      <c r="D258" s="328"/>
      <c r="E258" s="421">
        <f>IF('Detailed Results'!K164&gt;0,"Error ▲",SUM(E10:E257))</f>
        <v>36.73141018019107</v>
      </c>
      <c r="F258" s="34"/>
      <c r="G258" s="34"/>
      <c r="H258" s="34"/>
      <c r="I258" s="34"/>
      <c r="J258" s="34"/>
      <c r="K258" s="34"/>
      <c r="L258" s="34"/>
      <c r="M258" s="34"/>
      <c r="N258" s="34"/>
      <c r="O258" s="34"/>
      <c r="P258" s="1526"/>
      <c r="Q258" s="1606"/>
      <c r="R258" s="421">
        <f>IF('Detailed Results'!K164&gt;0,"Error ▲",SUM(R10:R257))</f>
        <v>158.39706878405732</v>
      </c>
      <c r="S258" s="133"/>
      <c r="T258" s="609">
        <f>IF('Detailed Results'!K164&gt;0,"Error ▲",SUM(T10:T257))</f>
        <v>0.59532115351422132</v>
      </c>
      <c r="U258" s="610">
        <f>IF('Detailed Results'!K164&gt;0,"Error ▲",SUM(U10:U257))</f>
        <v>36.136089026676856</v>
      </c>
      <c r="V258" s="610" cm="1">
        <f t="array" ref="V258">IF(OR(V10:V257="Error in Lengths ▲", V10:V257="Error", 'Detailed Results'!K164&gt;0), "Error ▲",SUM(V10:V257))</f>
        <v>1.7928025941594341</v>
      </c>
      <c r="W258" s="610" cm="1">
        <f t="array" ref="W258">IF(OR(V10:V257="Error in Lengths ▲",W10:W257="Error", 'Detailed Results'!K164&gt;0),"Error ▲",SUM(W10:W257))</f>
        <v>156.60426618989791</v>
      </c>
      <c r="X258" s="610">
        <f>IF('Detailed Results'!K164&gt;0,"Error ▲", SUM(X10:X257))</f>
        <v>0</v>
      </c>
      <c r="Y258" s="610">
        <f>IFERROR(IF(E258="","",IF('Detailed Results'!K164&gt;0,"Error ▲", IF((V258+W258)&gt;R258,0,R258-V258-W258))),"Check Data ⚠")</f>
        <v>-2.8421709430404007E-14</v>
      </c>
      <c r="Z258" s="563"/>
    </row>
    <row r="259" spans="2:44" ht="14.25" x14ac:dyDescent="0.2">
      <c r="B259" s="30"/>
      <c r="C259" s="30"/>
      <c r="S259" s="133"/>
      <c r="T259" s="133"/>
      <c r="U259" s="133"/>
      <c r="V259" s="133"/>
      <c r="W259" s="133"/>
      <c r="X259" s="133"/>
      <c r="Y259" s="133"/>
      <c r="Z259" s="133"/>
    </row>
    <row r="260" spans="2:44" ht="14.25" x14ac:dyDescent="0.2"/>
    <row r="261" spans="2:44" ht="14.25" x14ac:dyDescent="0.2"/>
    <row r="262" spans="2:44" ht="14.25" x14ac:dyDescent="0.2"/>
    <row r="263" spans="2:44" ht="14.25" x14ac:dyDescent="0.2"/>
    <row r="264" spans="2:44" ht="14.25" x14ac:dyDescent="0.2"/>
    <row r="265" spans="2:44" ht="14.25" x14ac:dyDescent="0.2"/>
    <row r="266" spans="2:44" ht="14.25" x14ac:dyDescent="0.2"/>
    <row r="267" spans="2:44" ht="14.25" x14ac:dyDescent="0.2"/>
    <row r="268" spans="2:44" ht="14.25" x14ac:dyDescent="0.2"/>
    <row r="269" spans="2:44" ht="14.25" x14ac:dyDescent="0.2"/>
    <row r="270" spans="2:44" ht="14.25" x14ac:dyDescent="0.2"/>
    <row r="271" spans="2:44" ht="14.25" x14ac:dyDescent="0.2"/>
    <row r="272" spans="2:44" ht="14.25" x14ac:dyDescent="0.2"/>
  </sheetData>
  <sheetProtection algorithmName="SHA-512" hashValue="RoPzGeT6YgOHGk9PRA21TbD/uFFMJbLI6gf7GltugHKZOx9bFjSmuGHZi6PgsA6MnbOPsOL7JyRyBnBG3LvC0Q==" saltValue="RZLUPPxKgJU0avWtdsYQ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E258">
    <cfRule type="containsText" dxfId="165" priority="20" operator="containsText" text="▲">
      <formula>NOT(ISERROR(SEARCH("▲",E258)))</formula>
    </cfRule>
  </conditionalFormatting>
  <conditionalFormatting sqref="I3:I4">
    <cfRule type="containsText" dxfId="164" priority="31" operator="containsText" text="Error">
      <formula>NOT(ISERROR(SEARCH("Error",I3)))</formula>
    </cfRule>
    <cfRule type="containsText" dxfId="163" priority="32" operator="containsText" text="Check">
      <formula>NOT(ISERROR(SEARCH("Check",I3)))</formula>
    </cfRule>
  </conditionalFormatting>
  <conditionalFormatting sqref="I5">
    <cfRule type="containsText" dxfId="162" priority="37" operator="containsText" text="No">
      <formula>NOT(ISERROR(SEARCH("No",I5)))</formula>
    </cfRule>
    <cfRule type="containsText" dxfId="161" priority="38" operator="containsText" text="Yes">
      <formula>NOT(ISERROR(SEARCH("Yes",I5)))</formula>
    </cfRule>
  </conditionalFormatting>
  <conditionalFormatting sqref="I10:I257">
    <cfRule type="containsText" dxfId="160" priority="36" operator="containsText" text="Not possible">
      <formula>NOT(ISERROR(SEARCH("Not possible",I10)))</formula>
    </cfRule>
  </conditionalFormatting>
  <conditionalFormatting sqref="I4:J4">
    <cfRule type="cellIs" dxfId="159" priority="30" operator="equal">
      <formula>0</formula>
    </cfRule>
    <cfRule type="cellIs" dxfId="158" priority="33" operator="lessThan">
      <formula>0</formula>
    </cfRule>
    <cfRule type="cellIs" dxfId="157" priority="41" operator="greaterThanOrEqual">
      <formula>0.1</formula>
    </cfRule>
  </conditionalFormatting>
  <conditionalFormatting sqref="K10:L257">
    <cfRule type="containsText" dxfId="155" priority="59" operator="containsText" text="Spatial">
      <formula>NOT(ISERROR(SEARCH("Spatial",K10)))</formula>
    </cfRule>
  </conditionalFormatting>
  <conditionalFormatting sqref="L2:R4">
    <cfRule type="containsText" dxfId="154" priority="39" operator="containsText" text="Check">
      <formula>NOT(ISERROR(SEARCH("Check",L2)))</formula>
    </cfRule>
  </conditionalFormatting>
  <conditionalFormatting sqref="P10:P257">
    <cfRule type="containsText" dxfId="153" priority="58" operator="containsText" text="Spatial">
      <formula>NOT(ISERROR(SEARCH("Spatial",P10)))</formula>
    </cfRule>
  </conditionalFormatting>
  <conditionalFormatting sqref="Q10:Q257">
    <cfRule type="containsText" dxfId="152" priority="25" operator="containsText" text="Bespoke">
      <formula>NOT(ISERROR(SEARCH("Bespoke",Q10)))</formula>
    </cfRule>
    <cfRule type="containsText" dxfId="151" priority="64" operator="containsText" text="Restore">
      <formula>NOT(ISERROR(SEARCH("Restore",Q10)))</formula>
    </cfRule>
  </conditionalFormatting>
  <conditionalFormatting sqref="R10:R257">
    <cfRule type="containsText" dxfId="150" priority="24" operator="containsText" text="⚠">
      <formula>NOT(ISERROR(SEARCH("⚠",R10)))</formula>
    </cfRule>
  </conditionalFormatting>
  <conditionalFormatting sqref="R258">
    <cfRule type="containsText" dxfId="149" priority="21" operator="containsText" text="▲">
      <formula>NOT(ISERROR(SEARCH("▲",R258)))</formula>
    </cfRule>
  </conditionalFormatting>
  <conditionalFormatting sqref="T258:Y258">
    <cfRule type="containsText" dxfId="148" priority="22" operator="containsText" text="▲">
      <formula>NOT(ISERROR(SEARCH("▲",T258)))</formula>
    </cfRule>
  </conditionalFormatting>
  <conditionalFormatting sqref="T5:Z6">
    <cfRule type="containsText" dxfId="147" priority="46" operator="containsText" text="Check">
      <formula>NOT(ISERROR(SEARCH("Check",T5)))</formula>
    </cfRule>
  </conditionalFormatting>
  <conditionalFormatting sqref="V10:V257">
    <cfRule type="containsText" dxfId="146" priority="34" operator="containsText" text="Error">
      <formula>NOT(ISERROR(SEARCH("Error",V10)))</formula>
    </cfRule>
  </conditionalFormatting>
  <conditionalFormatting sqref="V258:W258">
    <cfRule type="containsText" dxfId="145" priority="35" operator="containsText" text="Error">
      <formula>NOT(ISERROR(SEARCH("Error",V258)))</formula>
    </cfRule>
  </conditionalFormatting>
  <conditionalFormatting sqref="X10:X257">
    <cfRule type="containsText" dxfId="144" priority="23" operator="containsText" text="⚠">
      <formula>NOT(ISERROR(SEARCH("⚠",X10)))</formula>
    </cfRule>
  </conditionalFormatting>
  <conditionalFormatting sqref="X10:Z257">
    <cfRule type="containsText" dxfId="143" priority="56" operator="containsText" text="Error">
      <formula>NOT(ISERROR(SEARCH("Error",X10)))</formula>
    </cfRule>
  </conditionalFormatting>
  <conditionalFormatting sqref="Y10:Y257">
    <cfRule type="containsText" dxfId="142" priority="26" operator="containsText" text="▲">
      <formula>NOT(ISERROR(SEARCH("▲",Y10)))</formula>
    </cfRule>
    <cfRule type="containsText" dxfId="141" priority="27" operator="containsText" text="✓">
      <formula>NOT(ISERROR(SEARCH("✓",Y10)))</formula>
    </cfRule>
  </conditionalFormatting>
  <conditionalFormatting sqref="Y10:Z257">
    <cfRule type="containsText" dxfId="140" priority="55" operator="containsText" text="Check">
      <formula>NOT(ISERROR(SEARCH("Check",Y10)))</formula>
    </cfRule>
  </conditionalFormatting>
  <conditionalFormatting sqref="Z1:Z1048576">
    <cfRule type="containsText" dxfId="139" priority="28" operator="containsText" text="Yes">
      <formula>NOT(ISERROR(SEARCH("Yes",Z1)))</formula>
    </cfRule>
    <cfRule type="containsText" dxfId="138" priority="29" operator="containsText" text="No">
      <formula>NOT(ISERROR(SEARCH("No",Z1)))</formula>
    </cfRule>
  </conditionalFormatting>
  <conditionalFormatting sqref="AD10:AD257">
    <cfRule type="cellIs" dxfId="137" priority="1" operator="equal">
      <formula>0</formula>
    </cfRule>
  </conditionalFormatting>
  <conditionalFormatting sqref="AD10:AE257">
    <cfRule type="cellIs" dxfId="136" priority="2" operator="equal">
      <formula>"None"</formula>
    </cfRule>
    <cfRule type="cellIs" dxfId="135" priority="3" operator="equal">
      <formula>""</formula>
    </cfRule>
    <cfRule type="cellIs" dxfId="134" priority="6" operator="greaterThan">
      <formula>0</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69"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
  <cols>
    <col min="1" max="1" width="2.85546875" style="30" customWidth="1"/>
    <col min="2" max="2" width="10.7109375" style="30" customWidth="1"/>
    <col min="3" max="3" width="41" style="30" customWidth="1"/>
    <col min="4" max="4" width="10" style="30" customWidth="1"/>
    <col min="5" max="5" width="18.28515625" style="30" customWidth="1"/>
    <col min="6" max="6" width="13.140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855468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85546875" style="30" customWidth="1"/>
    <col min="20" max="20" width="15.5703125" style="30" customWidth="1"/>
    <col min="21" max="21" width="13.85546875" style="30" customWidth="1"/>
    <col min="22" max="22" width="17.85546875" style="30" customWidth="1"/>
    <col min="23" max="23" width="13.140625" style="30" customWidth="1"/>
    <col min="24" max="24" width="21.28515625" style="30" customWidth="1"/>
    <col min="25" max="25" width="13.28515625" style="30" customWidth="1"/>
    <col min="26" max="26" width="17.28515625" style="30" customWidth="1"/>
    <col min="27" max="28" width="34.85546875" style="30" customWidth="1"/>
    <col min="29" max="29" width="14.140625" style="30" customWidth="1"/>
    <col min="30" max="32" width="8.85546875" style="30" customWidth="1"/>
    <col min="33" max="33" width="8.85546875" style="30" hidden="1" customWidth="1"/>
    <col min="34" max="34" width="10.85546875" style="30" hidden="1" customWidth="1"/>
    <col min="35" max="16384" width="8.85546875" style="30" hidden="1"/>
  </cols>
  <sheetData>
    <row r="1" spans="2:34" ht="15" hidden="1" thickBot="1" x14ac:dyDescent="0.25"/>
    <row r="2" spans="2:34" ht="24.6" customHeight="1" thickBot="1" x14ac:dyDescent="0.3">
      <c r="B2" s="1597" t="str">
        <f>CONCATENATE("Project Name:", " ", Start!F12, "     ", "Map Reference:", " ", Start!K55)</f>
        <v xml:space="preserve">Project Name: Botley West Solar Farm     Map Reference: </v>
      </c>
      <c r="C2" s="1600"/>
      <c r="D2" s="1600"/>
      <c r="E2" s="1598"/>
      <c r="J2" s="309"/>
      <c r="K2" s="309"/>
      <c r="V2" s="1460" t="str">
        <f>IF(OR(COUNTIF(L$12:$L260,"*30+*")&gt;0,COUNTIF(P$12:$P260,"*30+*")&gt;0),"Note; Habitat selected has a time to target condition greater than 30 years. Non standard agreement may be required. ⚠","")</f>
        <v/>
      </c>
      <c r="W2" s="1460"/>
      <c r="X2" s="1460"/>
      <c r="Y2" s="1460"/>
      <c r="Z2" s="1460"/>
      <c r="AA2" s="1460"/>
    </row>
    <row r="3" spans="2:34" ht="15.6" customHeight="1" thickBot="1" x14ac:dyDescent="0.3">
      <c r="B3" s="1607" t="str">
        <f ca="1">MID(CELL("filename",A1),FIND("]",CELL("filename",A1))+1,256)</f>
        <v>C-2 On-Site WaterC' Creation</v>
      </c>
      <c r="C3" s="1608"/>
      <c r="D3" s="1608"/>
      <c r="E3" s="1609"/>
      <c r="I3" s="1401" t="s">
        <v>405</v>
      </c>
      <c r="J3" s="1402"/>
      <c r="K3" s="1402"/>
      <c r="L3" s="1402"/>
      <c r="M3" s="1402"/>
      <c r="N3" s="1402"/>
      <c r="O3" s="1403"/>
      <c r="Q3" s="312"/>
      <c r="R3" s="312"/>
      <c r="S3" s="312"/>
      <c r="V3" s="1460"/>
      <c r="W3" s="1460"/>
      <c r="X3" s="1460"/>
      <c r="Y3" s="1460"/>
      <c r="Z3" s="1460"/>
      <c r="AA3" s="1460"/>
    </row>
    <row r="4" spans="2:34" ht="15" customHeight="1" thickBot="1" x14ac:dyDescent="0.25">
      <c r="B4" s="1607"/>
      <c r="C4" s="1608"/>
      <c r="D4" s="1608"/>
      <c r="E4" s="1609"/>
      <c r="I4" s="1502" t="s">
        <v>264</v>
      </c>
      <c r="J4" s="1503"/>
      <c r="K4" s="1503"/>
      <c r="L4" s="1503"/>
      <c r="M4" s="1498">
        <f>'Headline Results'!H49</f>
        <v>43.946329363163812</v>
      </c>
      <c r="N4" s="1498"/>
      <c r="O4" s="1499"/>
      <c r="Q4" s="312"/>
      <c r="R4" s="312"/>
      <c r="S4" s="312"/>
      <c r="V4" s="1460"/>
      <c r="W4" s="1460"/>
      <c r="X4" s="1460"/>
      <c r="Y4" s="1460"/>
      <c r="Z4" s="1460"/>
      <c r="AA4" s="1460"/>
    </row>
    <row r="5" spans="2:34" ht="26.45" customHeight="1" x14ac:dyDescent="0.2">
      <c r="I5" s="1580" t="s">
        <v>266</v>
      </c>
      <c r="J5" s="1581"/>
      <c r="K5" s="1581"/>
      <c r="L5" s="1581"/>
      <c r="M5" s="1574">
        <f>'Headline Results'!H53</f>
        <v>0.27744408214444821</v>
      </c>
      <c r="N5" s="1574"/>
      <c r="O5" s="157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x14ac:dyDescent="0.25">
      <c r="I6" s="1579" t="s">
        <v>268</v>
      </c>
      <c r="J6" s="1576"/>
      <c r="K6" s="1576"/>
      <c r="L6" s="1576"/>
      <c r="M6" s="1576" t="str" cm="1">
        <f t="array" ref="M6">IF(OR('Trading Summary WaterC''s'!G5:H8="No ▲"), "No - check trading summary ▲", "Yes ✓")</f>
        <v>Yes ✓</v>
      </c>
      <c r="N6" s="1576"/>
      <c r="O6" s="1577"/>
      <c r="P6" s="312"/>
      <c r="Q6" s="312"/>
      <c r="R6" s="312"/>
      <c r="S6" s="312"/>
      <c r="V6" s="1610"/>
      <c r="W6" s="1610"/>
      <c r="X6" s="1610"/>
      <c r="Y6" s="1610"/>
      <c r="Z6" s="1610"/>
    </row>
    <row r="7" spans="2:34" ht="6" customHeight="1" x14ac:dyDescent="0.2">
      <c r="L7" s="312"/>
      <c r="M7" s="312"/>
      <c r="N7" s="312"/>
      <c r="O7" s="312"/>
      <c r="P7" s="312"/>
    </row>
    <row r="8" spans="2:34" ht="6" customHeight="1" x14ac:dyDescent="0.2"/>
    <row r="9" spans="2:34" ht="15.75" customHeight="1" thickBot="1" x14ac:dyDescent="0.25"/>
    <row r="10" spans="2:34" s="33" customFormat="1" ht="29.25" customHeight="1" thickBot="1" x14ac:dyDescent="0.25">
      <c r="B10" s="200"/>
      <c r="C10" s="1549" t="s">
        <v>390</v>
      </c>
      <c r="D10" s="1549"/>
      <c r="E10" s="1549" t="s">
        <v>270</v>
      </c>
      <c r="F10" s="1549"/>
      <c r="G10" s="1549" t="s">
        <v>358</v>
      </c>
      <c r="H10" s="1549"/>
      <c r="I10" s="1549" t="s">
        <v>272</v>
      </c>
      <c r="J10" s="1549"/>
      <c r="K10" s="1549"/>
      <c r="L10" s="1570" t="s">
        <v>315</v>
      </c>
      <c r="M10" s="1571"/>
      <c r="N10" s="1571"/>
      <c r="O10" s="1571"/>
      <c r="P10" s="1571"/>
      <c r="Q10" s="1572"/>
      <c r="R10" s="1570" t="s">
        <v>316</v>
      </c>
      <c r="S10" s="1571"/>
      <c r="T10" s="1571"/>
      <c r="U10" s="1572"/>
      <c r="V10" s="1549" t="s">
        <v>407</v>
      </c>
      <c r="W10" s="1549"/>
      <c r="X10" s="1549" t="s">
        <v>408</v>
      </c>
      <c r="Y10" s="1549"/>
      <c r="Z10" s="1531" t="s">
        <v>419</v>
      </c>
      <c r="AA10" s="1312" t="s">
        <v>277</v>
      </c>
      <c r="AB10" s="1310"/>
    </row>
    <row r="11" spans="2:34" s="33" customFormat="1" ht="62.1" customHeight="1" thickBot="1" x14ac:dyDescent="0.25">
      <c r="B11" s="719" t="s">
        <v>340</v>
      </c>
      <c r="C11" s="132" t="s">
        <v>193</v>
      </c>
      <c r="D11" s="752" t="s">
        <v>34</v>
      </c>
      <c r="E11" s="132" t="s">
        <v>270</v>
      </c>
      <c r="F11" s="752" t="s">
        <v>287</v>
      </c>
      <c r="G11" s="132" t="s">
        <v>271</v>
      </c>
      <c r="H11" s="752" t="s">
        <v>287</v>
      </c>
      <c r="I11" s="132" t="s">
        <v>272</v>
      </c>
      <c r="J11" s="811" t="s">
        <v>272</v>
      </c>
      <c r="K11" s="752" t="s">
        <v>318</v>
      </c>
      <c r="L11" s="132" t="s">
        <v>393</v>
      </c>
      <c r="M11" s="811" t="s">
        <v>320</v>
      </c>
      <c r="N11" s="811" t="s">
        <v>321</v>
      </c>
      <c r="O11" s="811" t="s">
        <v>322</v>
      </c>
      <c r="P11" s="811" t="s">
        <v>323</v>
      </c>
      <c r="Q11" s="752" t="s">
        <v>398</v>
      </c>
      <c r="R11" s="132" t="s">
        <v>325</v>
      </c>
      <c r="S11" s="811" t="s">
        <v>420</v>
      </c>
      <c r="T11" s="811" t="s">
        <v>327</v>
      </c>
      <c r="U11" s="752" t="s">
        <v>328</v>
      </c>
      <c r="V11" s="126" t="s">
        <v>410</v>
      </c>
      <c r="W11" s="861" t="s">
        <v>411</v>
      </c>
      <c r="X11" s="126" t="s">
        <v>412</v>
      </c>
      <c r="Y11" s="861" t="s">
        <v>411</v>
      </c>
      <c r="Z11" s="1531"/>
      <c r="AA11" s="126" t="s">
        <v>296</v>
      </c>
      <c r="AB11" s="861" t="s">
        <v>297</v>
      </c>
      <c r="AC11" s="48" t="s">
        <v>298</v>
      </c>
      <c r="AH11" s="210" t="s">
        <v>281</v>
      </c>
    </row>
    <row r="12" spans="2:34" ht="14.25" x14ac:dyDescent="0.2">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4.25" x14ac:dyDescent="0.2">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4.25" x14ac:dyDescent="0.2">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4.25" x14ac:dyDescent="0.2">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4.25" x14ac:dyDescent="0.2">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4.25" x14ac:dyDescent="0.2">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4.25" x14ac:dyDescent="0.2">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4.25" x14ac:dyDescent="0.2">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4.25" x14ac:dyDescent="0.2">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4.25" x14ac:dyDescent="0.2">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4.25" x14ac:dyDescent="0.2">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4.25" x14ac:dyDescent="0.2">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4.25" x14ac:dyDescent="0.2">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4.25" x14ac:dyDescent="0.2">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4.25" x14ac:dyDescent="0.2">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4.25" x14ac:dyDescent="0.2">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4.25" x14ac:dyDescent="0.2">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4.25" x14ac:dyDescent="0.2">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4.25" x14ac:dyDescent="0.2">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4.25" x14ac:dyDescent="0.2">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4.25" x14ac:dyDescent="0.2">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4.25" x14ac:dyDescent="0.2">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4.25" x14ac:dyDescent="0.2">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4.25" x14ac:dyDescent="0.2">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4.25" x14ac:dyDescent="0.2">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4.25" x14ac:dyDescent="0.2">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4.25" x14ac:dyDescent="0.2">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4.25" x14ac:dyDescent="0.2">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4.25" x14ac:dyDescent="0.2">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4.25" x14ac:dyDescent="0.2">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4.25" x14ac:dyDescent="0.2">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4.25" x14ac:dyDescent="0.2">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4.25" x14ac:dyDescent="0.2">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4.25" x14ac:dyDescent="0.2">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4.25" x14ac:dyDescent="0.2">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4.25" x14ac:dyDescent="0.2">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4.25" x14ac:dyDescent="0.2">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4.25" x14ac:dyDescent="0.2">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4.25" x14ac:dyDescent="0.2">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4.25" x14ac:dyDescent="0.2">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4.25" x14ac:dyDescent="0.2">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4.25" x14ac:dyDescent="0.2">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4.25" x14ac:dyDescent="0.2">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4.25" x14ac:dyDescent="0.2">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4.25" x14ac:dyDescent="0.2">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4.25" x14ac:dyDescent="0.2">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4.25" x14ac:dyDescent="0.2">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4.25" x14ac:dyDescent="0.2">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4.25" x14ac:dyDescent="0.2">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4.25" x14ac:dyDescent="0.2">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4.25" x14ac:dyDescent="0.2">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4.25" x14ac:dyDescent="0.2">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4.25" x14ac:dyDescent="0.2">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4.25" x14ac:dyDescent="0.2">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4.25" x14ac:dyDescent="0.2">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4.25" x14ac:dyDescent="0.2">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4.25" x14ac:dyDescent="0.2">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4.25" x14ac:dyDescent="0.2">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4.25" x14ac:dyDescent="0.2">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4.25" x14ac:dyDescent="0.2">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4.25" x14ac:dyDescent="0.2">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4.25" x14ac:dyDescent="0.2">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4.25" x14ac:dyDescent="0.2">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4.25" x14ac:dyDescent="0.2">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4.25" x14ac:dyDescent="0.2">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4.25" x14ac:dyDescent="0.2">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4.25" x14ac:dyDescent="0.2">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4.25" x14ac:dyDescent="0.2">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4.25" x14ac:dyDescent="0.2">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4.25" x14ac:dyDescent="0.2">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4.25" x14ac:dyDescent="0.2">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4.25" x14ac:dyDescent="0.2">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4.25" x14ac:dyDescent="0.2">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4.25" x14ac:dyDescent="0.2">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4.25" x14ac:dyDescent="0.2">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4.25" x14ac:dyDescent="0.2">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4.25" x14ac:dyDescent="0.2">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4.25" x14ac:dyDescent="0.2">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4.25" x14ac:dyDescent="0.2">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4.25" x14ac:dyDescent="0.2">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4.25" x14ac:dyDescent="0.2">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4.25" x14ac:dyDescent="0.2">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4.25" x14ac:dyDescent="0.2">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4.25" x14ac:dyDescent="0.2">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4.25" x14ac:dyDescent="0.2">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4.25" x14ac:dyDescent="0.2">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4.25" x14ac:dyDescent="0.2">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4.25" x14ac:dyDescent="0.2">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4.25" x14ac:dyDescent="0.2">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4.25" x14ac:dyDescent="0.2">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4.25" x14ac:dyDescent="0.2">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4.25" x14ac:dyDescent="0.2">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4.25" x14ac:dyDescent="0.2">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4.25" x14ac:dyDescent="0.2">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4.25" x14ac:dyDescent="0.2">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4.25" x14ac:dyDescent="0.2">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4.25" x14ac:dyDescent="0.2">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4.25" x14ac:dyDescent="0.2">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4.25" x14ac:dyDescent="0.2">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4.25" x14ac:dyDescent="0.2">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4.25" x14ac:dyDescent="0.2">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4.25" x14ac:dyDescent="0.2">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4.25" x14ac:dyDescent="0.2">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4.25" x14ac:dyDescent="0.2">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4.25" x14ac:dyDescent="0.2">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4.25" x14ac:dyDescent="0.2">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4.25" x14ac:dyDescent="0.2">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4.25" x14ac:dyDescent="0.2">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4.25" x14ac:dyDescent="0.2">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4.25" x14ac:dyDescent="0.2">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4.25" x14ac:dyDescent="0.2">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4.25" x14ac:dyDescent="0.2">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4.25" x14ac:dyDescent="0.2">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4.25" x14ac:dyDescent="0.2">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4.25" x14ac:dyDescent="0.2">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4.25" x14ac:dyDescent="0.2">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4.25" x14ac:dyDescent="0.2">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4.25" x14ac:dyDescent="0.2">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4.25" x14ac:dyDescent="0.2">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4.25" x14ac:dyDescent="0.2">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4.25" x14ac:dyDescent="0.2">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4.25" x14ac:dyDescent="0.2">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4.25" x14ac:dyDescent="0.2">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4.25" x14ac:dyDescent="0.2">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4.25" x14ac:dyDescent="0.2">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4.25" x14ac:dyDescent="0.2">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4.25" x14ac:dyDescent="0.2">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4.25" x14ac:dyDescent="0.2">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4.25" x14ac:dyDescent="0.2">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4.25" x14ac:dyDescent="0.2">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4.25" x14ac:dyDescent="0.2">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4.25" x14ac:dyDescent="0.2">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4.25" x14ac:dyDescent="0.2">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4.25" x14ac:dyDescent="0.2">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4.25" x14ac:dyDescent="0.2">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4.25" x14ac:dyDescent="0.2">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4.25" x14ac:dyDescent="0.2">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4.25" x14ac:dyDescent="0.2">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4.25" x14ac:dyDescent="0.2">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4.25" x14ac:dyDescent="0.2">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4.25" x14ac:dyDescent="0.2">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4.25" x14ac:dyDescent="0.2">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4.25" x14ac:dyDescent="0.2">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4.25" x14ac:dyDescent="0.2">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4.25" x14ac:dyDescent="0.2">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4.25" x14ac:dyDescent="0.2">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4.25" x14ac:dyDescent="0.2">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4.25" x14ac:dyDescent="0.2">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4.25" x14ac:dyDescent="0.2">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4.25" x14ac:dyDescent="0.2">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4.25" x14ac:dyDescent="0.2">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4.25" x14ac:dyDescent="0.2">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4.25" x14ac:dyDescent="0.2">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4.25" x14ac:dyDescent="0.2">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4.25" x14ac:dyDescent="0.2">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4.25" x14ac:dyDescent="0.2">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4.25" x14ac:dyDescent="0.2">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4.25" x14ac:dyDescent="0.2">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4.25" x14ac:dyDescent="0.2">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4.25" x14ac:dyDescent="0.2">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4.25" x14ac:dyDescent="0.2">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4.25" x14ac:dyDescent="0.2">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4.25" x14ac:dyDescent="0.2">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4.25" x14ac:dyDescent="0.2">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4.25" x14ac:dyDescent="0.2">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4.25" x14ac:dyDescent="0.2">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4.25" x14ac:dyDescent="0.2">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4.25" x14ac:dyDescent="0.2">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4.25" x14ac:dyDescent="0.2">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4.25" x14ac:dyDescent="0.2">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4.25" x14ac:dyDescent="0.2">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4.25" x14ac:dyDescent="0.2">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4.25" x14ac:dyDescent="0.2">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4.25" x14ac:dyDescent="0.2">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4.25" x14ac:dyDescent="0.2">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4.25" x14ac:dyDescent="0.2">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4.25" x14ac:dyDescent="0.2">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4.25" x14ac:dyDescent="0.2">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4.25" x14ac:dyDescent="0.2">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4.25" x14ac:dyDescent="0.2">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4.25" x14ac:dyDescent="0.2">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4.25" x14ac:dyDescent="0.2">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4.25" x14ac:dyDescent="0.2">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4.25" x14ac:dyDescent="0.2">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4.25" x14ac:dyDescent="0.2">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4.25" x14ac:dyDescent="0.2">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4.25" x14ac:dyDescent="0.2">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4.25" x14ac:dyDescent="0.2">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4.25" x14ac:dyDescent="0.2">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4.25" x14ac:dyDescent="0.2">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4.25" x14ac:dyDescent="0.2">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4.25" x14ac:dyDescent="0.2">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4.25" x14ac:dyDescent="0.2">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4.25" x14ac:dyDescent="0.2">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4.25" x14ac:dyDescent="0.2">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4.25" x14ac:dyDescent="0.2">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4.25" x14ac:dyDescent="0.2">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4.25" x14ac:dyDescent="0.2">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4.25" x14ac:dyDescent="0.2">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4.25" x14ac:dyDescent="0.2">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4.25" x14ac:dyDescent="0.2">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4.25" x14ac:dyDescent="0.2">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4.25" x14ac:dyDescent="0.2">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4.25" x14ac:dyDescent="0.2">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4.25" x14ac:dyDescent="0.2">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4.25" x14ac:dyDescent="0.2">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4.25" x14ac:dyDescent="0.2">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4.25" x14ac:dyDescent="0.2">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4.25" x14ac:dyDescent="0.2">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4.25" x14ac:dyDescent="0.2">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4.25" x14ac:dyDescent="0.2">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4.25" x14ac:dyDescent="0.2">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4.25" x14ac:dyDescent="0.2">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4.25" x14ac:dyDescent="0.2">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4.25" x14ac:dyDescent="0.2">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4.25" x14ac:dyDescent="0.2">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4.25" x14ac:dyDescent="0.2">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4.25" x14ac:dyDescent="0.2">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4.25" x14ac:dyDescent="0.2">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4.25" x14ac:dyDescent="0.2">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4.25" x14ac:dyDescent="0.2">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4.25" x14ac:dyDescent="0.2">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4.25" x14ac:dyDescent="0.2">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4.25" x14ac:dyDescent="0.2">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4.25" x14ac:dyDescent="0.2">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4.25" x14ac:dyDescent="0.2">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4.25" x14ac:dyDescent="0.2">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4.25" x14ac:dyDescent="0.2">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4.25" x14ac:dyDescent="0.2">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4.25" x14ac:dyDescent="0.2">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4.25" x14ac:dyDescent="0.2">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4.25" x14ac:dyDescent="0.2">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4.25" x14ac:dyDescent="0.2">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4.25" x14ac:dyDescent="0.2">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4.25" x14ac:dyDescent="0.2">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4.25" x14ac:dyDescent="0.2">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4.25" x14ac:dyDescent="0.2">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4.25" x14ac:dyDescent="0.2">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4.25" x14ac:dyDescent="0.2">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4.25" x14ac:dyDescent="0.2">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4.25" x14ac:dyDescent="0.2">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4.25" x14ac:dyDescent="0.2">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4.25" x14ac:dyDescent="0.2">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4.25" x14ac:dyDescent="0.2">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4.25" x14ac:dyDescent="0.2">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4.25" x14ac:dyDescent="0.2">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4.25" x14ac:dyDescent="0.2">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 thickBot="1" x14ac:dyDescent="0.25">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 thickBot="1" x14ac:dyDescent="0.2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6"/>
      <c r="Y260" s="1526"/>
      <c r="Z260" s="366">
        <f>SUM(Z12:Z259)</f>
        <v>0</v>
      </c>
      <c r="AA260" s="34"/>
      <c r="AB260" s="34"/>
    </row>
    <row r="261" spans="2:34" ht="28.9"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QsRI5dCqT/Gr4qCQZQRg7KmyHzI5aIBZ/cEVu7nAJFzoSnwOvmKL8qAq14v/Vgyrzsr3zyJEx+0+uONRrg2XBA==" saltValue="5owJjot9bSQb+S79ytW9Q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H12:H259">
    <cfRule type="beginsWith" dxfId="133" priority="17" operator="beginsWith" text="Not Possible">
      <formula>LEFT(H12,LEN("Not Possible"))="Not Possible"</formula>
    </cfRule>
  </conditionalFormatting>
  <conditionalFormatting sqref="J12:K259">
    <cfRule type="containsText" dxfId="132" priority="27" operator="containsText" text="Spatial">
      <formula>NOT(ISERROR(SEARCH("Spatial",J12)))</formula>
    </cfRule>
  </conditionalFormatting>
  <conditionalFormatting sqref="M4:M5">
    <cfRule type="containsText" dxfId="131" priority="2" operator="containsText" text="Error">
      <formula>NOT(ISERROR(SEARCH("Error",M4)))</formula>
    </cfRule>
    <cfRule type="containsText" dxfId="130" priority="3" operator="containsText" text="Check">
      <formula>NOT(ISERROR(SEARCH("Check",M4)))</formula>
    </cfRule>
  </conditionalFormatting>
  <conditionalFormatting sqref="M6">
    <cfRule type="containsText" dxfId="129" priority="5" operator="containsText" text="No">
      <formula>NOT(ISERROR(SEARCH("No",M6)))</formula>
    </cfRule>
    <cfRule type="containsText" dxfId="128" priority="6" operator="containsText" text="Yes">
      <formula>NOT(ISERROR(SEARCH("Yes",M6)))</formula>
    </cfRule>
  </conditionalFormatting>
  <conditionalFormatting sqref="M5:O5">
    <cfRule type="cellIs" dxfId="127" priority="1" operator="equal">
      <formula>0</formula>
    </cfRule>
    <cfRule type="cellIs" dxfId="126" priority="4" operator="lessThan">
      <formula>0</formula>
    </cfRule>
  </conditionalFormatting>
  <conditionalFormatting sqref="O12:Q259">
    <cfRule type="cellIs" dxfId="123" priority="15" operator="equal">
      <formula>"30+ ⚠"</formula>
    </cfRule>
    <cfRule type="containsText" dxfId="122" priority="25" operator="containsText" text="Check">
      <formula>NOT(ISERROR(SEARCH("Check",O12)))</formula>
    </cfRule>
    <cfRule type="containsText" dxfId="121" priority="26" operator="containsText" text="Error">
      <formula>NOT(ISERROR(SEARCH("Error",O12)))</formula>
    </cfRule>
  </conditionalFormatting>
  <conditionalFormatting sqref="S12:S259">
    <cfRule type="beginsWith" dxfId="120" priority="20" operator="beginsWith" text="No - Low Difficulty">
      <formula>LEFT(S12,LEN("No - Low Difficulty"))="No - Low Difficulty"</formula>
    </cfRule>
  </conditionalFormatting>
  <conditionalFormatting sqref="S12:Z259">
    <cfRule type="containsText" dxfId="119" priority="21" operator="containsText" text="Error">
      <formula>NOT(ISERROR(SEARCH("Error",S12)))</formula>
    </cfRule>
    <cfRule type="containsText" dxfId="118" priority="22" operator="containsText" text="Check">
      <formula>NOT(ISERROR(SEARCH("Check",S12)))</formula>
    </cfRule>
  </conditionalFormatting>
  <conditionalFormatting sqref="V2 L7:P7">
    <cfRule type="containsText" dxfId="117" priority="16" operator="containsText" text="Note">
      <formula>NOT(ISERROR(SEARCH("Note",L2)))</formula>
    </cfRule>
  </conditionalFormatting>
  <conditionalFormatting sqref="V5 V2">
    <cfRule type="containsText" dxfId="116" priority="8" operator="containsText" text="Error">
      <formula>NOT(ISERROR(SEARCH("Error",V2)))</formula>
    </cfRule>
  </conditionalFormatting>
  <conditionalFormatting sqref="V5:Z6">
    <cfRule type="containsText" dxfId="115" priority="7" operator="containsText" text="Check">
      <formula>NOT(ISERROR(SEARCH("Check",V5)))</formula>
    </cfRule>
  </conditionalFormatting>
  <conditionalFormatting sqref="W12:W259">
    <cfRule type="containsText" dxfId="114" priority="19" operator="containsText" text="Spatial">
      <formula>NOT(ISERROR(SEARCH("Spatial",W12)))</formula>
    </cfRule>
  </conditionalFormatting>
  <conditionalFormatting sqref="Y12:Y259">
    <cfRule type="containsText" dxfId="113" priority="18" operator="containsText" text="Missing">
      <formula>NOT(ISERROR(SEARCH("Missing",Y12)))</formula>
    </cfRule>
  </conditionalFormatting>
  <conditionalFormatting sqref="Z12:Z259">
    <cfRule type="containsText" dxfId="112" priority="28" operator="containsText" text="Existing Value Not Required">
      <formula>NOT(ISERROR(SEARCH("Existing Value Not Required",Z12)))</formula>
    </cfRule>
    <cfRule type="containsText" dxfId="111" priority="29" operator="containsText" text="Existing Value Required">
      <formula>NOT(ISERROR(SEARCH("Existing Value Required",Z12)))</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5" operator="lessThan" id="{84BACA77-6ED3-4402-B70B-8E87E52B228F}">
            <xm:f>Start!$F$22</xm:f>
            <x14:dxf>
              <font>
                <color rgb="FF383745"/>
              </font>
              <fill>
                <patternFill>
                  <bgColor rgb="FFFFC000"/>
                </patternFill>
              </fill>
            </x14:dxf>
          </x14:cfRule>
          <x14:cfRule type="cellIs" priority="446"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5" zoomScaleNormal="85" workbookViewId="0">
      <pane ySplit="11" topLeftCell="A12" activePane="bottomLeft" state="frozen"/>
      <selection pane="bottomLeft" activeCell="G20" sqref="G20"/>
    </sheetView>
  </sheetViews>
  <sheetFormatPr defaultColWidth="0" defaultRowHeight="0" customHeight="1" zeroHeight="1" x14ac:dyDescent="0.2"/>
  <cols>
    <col min="1" max="1" width="2.85546875" style="30" customWidth="1"/>
    <col min="2" max="2" width="14.140625" style="30" customWidth="1"/>
    <col min="3" max="3" width="41.28515625" style="30" customWidth="1"/>
    <col min="4" max="4" width="9" style="30" customWidth="1"/>
    <col min="5" max="5" width="18.85546875" style="30" customWidth="1"/>
    <col min="6" max="6" width="18.28515625" style="30" customWidth="1"/>
    <col min="7" max="7" width="18.140625" style="30" customWidth="1"/>
    <col min="8" max="8" width="19.28515625" style="30" customWidth="1"/>
    <col min="9" max="9" width="25.855468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140625" style="30" customWidth="1"/>
    <col min="40" max="41" width="34.85546875" style="30" customWidth="1"/>
    <col min="42" max="42" width="14.28515625" style="30" customWidth="1"/>
    <col min="43" max="47" width="8.85546875" style="30" customWidth="1"/>
    <col min="48" max="48" width="10.85546875" style="30" hidden="1" customWidth="1"/>
    <col min="49" max="56" width="0" style="30" hidden="1" customWidth="1"/>
    <col min="57" max="16384" width="8.85546875" style="30" hidden="1"/>
  </cols>
  <sheetData>
    <row r="1" spans="2:48" ht="20.45" customHeight="1" thickBot="1" x14ac:dyDescent="0.25"/>
    <row r="2" spans="2:48" ht="27" customHeight="1" thickBot="1" x14ac:dyDescent="0.25">
      <c r="B2" s="1551" t="str">
        <f>CONCATENATE("Project Name:", " ", Start!F12, "     ", "Map Reference:", " ", Start!K55)</f>
        <v xml:space="preserve">Project Name: Botley West Solar Farm     Map Reference: </v>
      </c>
      <c r="C2" s="1552"/>
      <c r="D2" s="1552"/>
      <c r="E2" s="1553"/>
      <c r="O2" s="1592" t="s">
        <v>405</v>
      </c>
      <c r="P2" s="1593"/>
      <c r="Q2" s="510"/>
      <c r="R2" s="102"/>
      <c r="S2" s="1515" t="str" cm="1">
        <f t="array" ref="S2">IF(OR(T12:T257 = "Fairly Good", T12:T257 = "Fairly Poor"),"A 'Fairly' Category has been used - check evidence to ensure this is appropriate ⚠", "")</f>
        <v/>
      </c>
      <c r="T2" s="1515"/>
      <c r="U2" s="1515"/>
      <c r="V2" s="1515"/>
      <c r="W2" s="1515"/>
      <c r="X2" s="1515"/>
      <c r="Y2" s="1460" t="str">
        <f>IF(OR(COUNTIF($Y$12:Y259,"*30+*")&gt;0,COUNTIF($AC$12:AC259,"*30+*")&gt;0),"Note; Habitat selected has a time to target condition greater than 30 years. Non standard agreement may be required. ⚠","")</f>
        <v/>
      </c>
      <c r="Z2" s="1460"/>
      <c r="AA2" s="1460"/>
      <c r="AB2" s="1460"/>
      <c r="AC2" s="1460"/>
      <c r="AD2" s="1460"/>
    </row>
    <row r="3" spans="2:48" ht="18" customHeight="1" thickBot="1" x14ac:dyDescent="0.25">
      <c r="B3" s="1607" t="str">
        <f ca="1">MID(CELL("filename",A1),FIND("]",CELL("filename",A1))+1,256)</f>
        <v>C-3 On-Site WaterC' Enhancement</v>
      </c>
      <c r="C3" s="1608"/>
      <c r="D3" s="1608"/>
      <c r="E3" s="1609"/>
      <c r="O3" s="535" t="s">
        <v>264</v>
      </c>
      <c r="P3" s="512">
        <f>'Headline Results'!H49</f>
        <v>43.946329363163812</v>
      </c>
      <c r="Q3" s="509"/>
      <c r="S3" s="1515"/>
      <c r="T3" s="1515"/>
      <c r="U3" s="1515"/>
      <c r="V3" s="1515"/>
      <c r="W3" s="1515"/>
      <c r="X3" s="1515"/>
      <c r="Y3" s="1460"/>
      <c r="Z3" s="1460"/>
      <c r="AA3" s="1460"/>
      <c r="AB3" s="1460"/>
      <c r="AC3" s="1460"/>
      <c r="AD3" s="1460"/>
    </row>
    <row r="4" spans="2:48" ht="21" customHeight="1" thickBot="1" x14ac:dyDescent="0.25">
      <c r="B4" s="1607"/>
      <c r="C4" s="1608"/>
      <c r="D4" s="1608"/>
      <c r="E4" s="1609"/>
      <c r="O4" s="506" t="s">
        <v>266</v>
      </c>
      <c r="P4" s="581">
        <f>'Headline Results'!H53</f>
        <v>0.27744408214444821</v>
      </c>
      <c r="Q4" s="509"/>
      <c r="S4" s="1515"/>
      <c r="T4" s="1515"/>
      <c r="U4" s="1515"/>
      <c r="V4" s="1515"/>
      <c r="W4" s="1515"/>
      <c r="X4" s="1515"/>
      <c r="Y4" s="1460"/>
      <c r="Z4" s="1460"/>
      <c r="AA4" s="1460"/>
      <c r="AB4" s="1460"/>
      <c r="AC4" s="1460"/>
      <c r="AD4" s="1460"/>
    </row>
    <row r="5" spans="2:48" ht="15.6" customHeight="1" thickBot="1" x14ac:dyDescent="0.3">
      <c r="O5" s="536" t="s">
        <v>268</v>
      </c>
      <c r="P5" s="504" t="str" cm="1">
        <f t="array" ref="P5">IF(OR('Trading Summary WaterC''s'!G5:H8="No ▲"), "No - check trading summary ▲", "Yes ✓")</f>
        <v>Yes ✓</v>
      </c>
      <c r="Q5" s="509"/>
      <c r="R5" s="509"/>
      <c r="AH5" s="158"/>
      <c r="AI5" s="158"/>
      <c r="AJ5" s="158"/>
      <c r="AK5" s="158"/>
      <c r="AL5" s="158"/>
    </row>
    <row r="6" spans="2:48" ht="16.149999999999999" customHeight="1" x14ac:dyDescent="0.2">
      <c r="F6" s="101"/>
    </row>
    <row r="7" spans="2:48" ht="14.25" x14ac:dyDescent="0.2"/>
    <row r="8" spans="2:48" ht="15" thickBot="1" x14ac:dyDescent="0.25"/>
    <row r="9" spans="2:48" ht="15" thickBot="1" x14ac:dyDescent="0.25">
      <c r="C9" s="101"/>
      <c r="D9" s="101"/>
      <c r="E9" s="101"/>
      <c r="F9" s="101"/>
      <c r="G9" s="101"/>
      <c r="H9" s="101"/>
      <c r="I9" s="101"/>
      <c r="J9" s="101"/>
      <c r="K9" s="101"/>
      <c r="L9" s="101"/>
      <c r="M9" s="101"/>
      <c r="N9" s="1539" t="s">
        <v>312</v>
      </c>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1"/>
      <c r="AM9" s="332"/>
    </row>
    <row r="10" spans="2:48" s="33" customFormat="1" ht="27" customHeight="1" thickBot="1" x14ac:dyDescent="0.25">
      <c r="C10" s="1531" t="s">
        <v>333</v>
      </c>
      <c r="D10" s="1531"/>
      <c r="E10" s="1531"/>
      <c r="F10" s="1531"/>
      <c r="G10" s="1531"/>
      <c r="H10" s="1531"/>
      <c r="I10" s="1531"/>
      <c r="J10" s="1531"/>
      <c r="K10" s="1531"/>
      <c r="L10" s="1531"/>
      <c r="M10" s="1531"/>
      <c r="N10" s="1570" t="s">
        <v>421</v>
      </c>
      <c r="O10" s="1586" t="s">
        <v>335</v>
      </c>
      <c r="P10" s="1586"/>
      <c r="Q10" s="1549" t="s">
        <v>34</v>
      </c>
      <c r="R10" s="1549" t="s">
        <v>422</v>
      </c>
      <c r="S10" s="1549"/>
      <c r="T10" s="1549" t="s">
        <v>423</v>
      </c>
      <c r="U10" s="1549"/>
      <c r="V10" s="1570" t="s">
        <v>272</v>
      </c>
      <c r="W10" s="1571"/>
      <c r="X10" s="1572"/>
      <c r="Y10" s="1570" t="s">
        <v>315</v>
      </c>
      <c r="Z10" s="1571"/>
      <c r="AA10" s="1571"/>
      <c r="AB10" s="1571"/>
      <c r="AC10" s="1571"/>
      <c r="AD10" s="1572"/>
      <c r="AE10" s="1570" t="s">
        <v>316</v>
      </c>
      <c r="AF10" s="1571"/>
      <c r="AG10" s="1571"/>
      <c r="AH10" s="1572"/>
      <c r="AI10" s="1549" t="s">
        <v>407</v>
      </c>
      <c r="AJ10" s="1549"/>
      <c r="AK10" s="1570" t="s">
        <v>408</v>
      </c>
      <c r="AL10" s="1572"/>
      <c r="AM10" s="1549" t="s">
        <v>419</v>
      </c>
      <c r="AN10" s="1312" t="s">
        <v>277</v>
      </c>
      <c r="AO10" s="1310"/>
    </row>
    <row r="11" spans="2:48" ht="62.25" customHeight="1" thickBot="1" x14ac:dyDescent="0.25">
      <c r="B11" s="719" t="s">
        <v>340</v>
      </c>
      <c r="C11" s="140" t="s">
        <v>341</v>
      </c>
      <c r="D11" s="145" t="s">
        <v>34</v>
      </c>
      <c r="E11" s="145" t="s">
        <v>343</v>
      </c>
      <c r="F11" s="145" t="s">
        <v>344</v>
      </c>
      <c r="G11" s="145" t="s">
        <v>345</v>
      </c>
      <c r="H11" s="145" t="s">
        <v>346</v>
      </c>
      <c r="I11" s="145" t="s">
        <v>347</v>
      </c>
      <c r="J11" s="145" t="s">
        <v>272</v>
      </c>
      <c r="K11" s="145" t="s">
        <v>424</v>
      </c>
      <c r="L11" s="145" t="s">
        <v>273</v>
      </c>
      <c r="M11" s="144" t="s">
        <v>425</v>
      </c>
      <c r="N11" s="1611"/>
      <c r="O11" s="126" t="s">
        <v>396</v>
      </c>
      <c r="P11" s="861" t="s">
        <v>397</v>
      </c>
      <c r="Q11" s="1585"/>
      <c r="R11" s="126" t="s">
        <v>270</v>
      </c>
      <c r="S11" s="861" t="s">
        <v>287</v>
      </c>
      <c r="T11" s="126" t="s">
        <v>271</v>
      </c>
      <c r="U11" s="861" t="s">
        <v>287</v>
      </c>
      <c r="V11" s="126" t="s">
        <v>272</v>
      </c>
      <c r="W11" s="874" t="s">
        <v>272</v>
      </c>
      <c r="X11" s="861" t="s">
        <v>318</v>
      </c>
      <c r="Y11" s="126" t="s">
        <v>393</v>
      </c>
      <c r="Z11" s="874" t="s">
        <v>378</v>
      </c>
      <c r="AA11" s="874" t="s">
        <v>355</v>
      </c>
      <c r="AB11" s="874" t="s">
        <v>322</v>
      </c>
      <c r="AC11" s="874" t="s">
        <v>323</v>
      </c>
      <c r="AD11" s="861" t="s">
        <v>398</v>
      </c>
      <c r="AE11" s="126" t="s">
        <v>399</v>
      </c>
      <c r="AF11" s="874" t="s">
        <v>1682</v>
      </c>
      <c r="AG11" s="874" t="s">
        <v>357</v>
      </c>
      <c r="AH11" s="861" t="s">
        <v>328</v>
      </c>
      <c r="AI11" s="126" t="s">
        <v>410</v>
      </c>
      <c r="AJ11" s="861" t="s">
        <v>411</v>
      </c>
      <c r="AK11" s="126" t="s">
        <v>412</v>
      </c>
      <c r="AL11" s="861" t="s">
        <v>411</v>
      </c>
      <c r="AM11" s="1585"/>
      <c r="AN11" s="126" t="s">
        <v>296</v>
      </c>
      <c r="AO11" s="861" t="s">
        <v>297</v>
      </c>
      <c r="AP11" s="48" t="s">
        <v>298</v>
      </c>
      <c r="AV11" s="210" t="s">
        <v>281</v>
      </c>
    </row>
    <row r="12" spans="2:48" ht="28.5" x14ac:dyDescent="0.2">
      <c r="B12" s="863">
        <f>'C-1 On-Site WaterC'' Baseline'!AO10</f>
        <v>1</v>
      </c>
      <c r="C12" s="370" t="str">
        <f>IF(B12="","",VLOOKUP($B12,'C-1 On-Site WaterC'' Baseline'!$C$9:$R$257,2,FALSE))</f>
        <v>Ditches</v>
      </c>
      <c r="D12" s="370">
        <f>IF(C12="","",VLOOKUP($B12,'C-1 On-Site WaterC'' Baseline'!$C$9:$R$257,3,FALSE))</f>
        <v>2.631317882140392E-2</v>
      </c>
      <c r="E12" s="370" t="str">
        <f>IF(D12="","",VLOOKUP($B12,'C-1 On-Site WaterC'' Baseline'!$C$9:$R$257,4,FALSE))</f>
        <v>Medium</v>
      </c>
      <c r="F12" s="370">
        <f>IF(E12="","",VLOOKUP($B12,'C-1 On-Site WaterC'' Baseline'!$C$9:$R$257,5,FALSE))</f>
        <v>4</v>
      </c>
      <c r="G12" s="370" t="str">
        <f>IF(F12="","",VLOOKUP($B12,'C-1 On-Site WaterC'' Baseline'!$C$9:$R$257,6,FALSE))</f>
        <v>Poor</v>
      </c>
      <c r="H12" s="370">
        <f>IF(G12="","",VLOOKUP($B12,'C-1 On-Site WaterC'' Baseline'!$C$9:$R$257,7,FALSE))</f>
        <v>1</v>
      </c>
      <c r="I12" s="370" t="str">
        <f>IF(H12="","",VLOOKUP($B12,'C-1 On-Site WaterC'' Baseline'!$C$9:$R$257,8,FALSE))</f>
        <v>Formally identified in local strategy</v>
      </c>
      <c r="J12" s="370" t="str">
        <f>IF(I12="","",VLOOKUP($B12,'C-1 On-Site WaterC'' Baseline'!$C$9:$R$257,9,FALSE))</f>
        <v xml:space="preserve">High strategic significance </v>
      </c>
      <c r="K12" s="370">
        <f>IF(J12="","",VLOOKUP($B12,'C-1 On-Site WaterC'' Baseline'!$C$9:$R$257,10,FALSE))</f>
        <v>1.1499999999999999</v>
      </c>
      <c r="L12" s="370" t="str">
        <f>IF(B12="","",VLOOKUP($B12,'C-1 On-Site WaterC'' Baseline'!$C$9:$R$257,15,FALSE))</f>
        <v>Same habitat required =</v>
      </c>
      <c r="M12" s="363">
        <f>IF(L12="","",VLOOKUP($B12,'C-1 On-Site WaterC'' Baseline'!$C$9:$R$257,16,FALSE))</f>
        <v>9.0780466933843507E-2</v>
      </c>
      <c r="N12" s="320" t="str">
        <f t="shared" ref="N12:N75" si="0">C12</f>
        <v>Ditches</v>
      </c>
      <c r="O12" s="362" t="str">
        <f>IF(B12="","",IF(S12&lt;F12,"Error Trading Down ▲",E12&amp;" - "&amp;R12))</f>
        <v>Medium - Medium</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Poor - Poor</v>
      </c>
      <c r="Q12" s="425">
        <f>IF(N12="","",VLOOKUP(B12,'C-1 On-Site WaterC'' Baseline'!$C$10:$AB$257,19,FALSE))</f>
        <v>2.631317882140392E-2</v>
      </c>
      <c r="R12" s="362" t="str">
        <f>IF(N12="","",VLOOKUP(N12,'G-7 WaterC'' Data'!$B$2:$G$8,2,FALSE))</f>
        <v>Medium</v>
      </c>
      <c r="S12" s="363">
        <f>IFERROR(VLOOKUP(R12,'G-7 WaterC'' Data'!$C$4:$D$8,2,FALSE),"")</f>
        <v>4</v>
      </c>
      <c r="T12" s="841" t="s">
        <v>329</v>
      </c>
      <c r="U12" s="790">
        <f>IFERROR(INDEX('G-7 WaterC'' Data'!$H$4:$L$8,MATCH(N12,'G-7 WaterC'' Data'!$B$4:$B$8,0),MATCH(T12,'G-7 WaterC'' Data'!$H$3:$L$3,0)),"")</f>
        <v>1</v>
      </c>
      <c r="V12" s="841" t="s">
        <v>1029</v>
      </c>
      <c r="W12" s="367" t="str">
        <f>IF(V12="","",IF(VLOOKUP(V12,'G-7 WaterC'' Data'!$AK$4:$AM$6,2,FALSE)=0,"Spatial Data Missing ⚠",VLOOKUP(V12,'G-7 WaterC'' Data'!$AK$4:$AM$6,2,FALSE)))</f>
        <v xml:space="preserve">High strategic significance </v>
      </c>
      <c r="X12" s="790">
        <f>IF(V12="","",IF(VLOOKUP(V12,'G-7 WaterC'' Data'!$AK$4:$AM$6,3,FALSE)=0,"Spatial Data Missing ⚠",VLOOKUP(V12,'G-7 WaterC'' Data'!$AK$4:$AM$6,3,FALSE)))</f>
        <v>1.1499999999999999</v>
      </c>
      <c r="Y12" s="443">
        <f>IFERROR(IF(OR(LEFT(P12,5)="Error",LEFT(O12,5)="Error ▲"),"Check Data ⚠",IF(F12&lt;S12,'G-7 WaterC'' Data'!$R$3,INDEX('G-7 WaterC'' Data'!$U$5:$Y$9,MATCH(G12,'G-7 WaterC'' Data'!$T$5:$T$9,0),MATCH(T12,'G-7 WaterC'' Data'!$U$4:$Y$4,0)))),"")</f>
        <v>1</v>
      </c>
      <c r="Z12" s="842">
        <v>0</v>
      </c>
      <c r="AA12" s="842">
        <v>0</v>
      </c>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446">
        <f>IF(AB12="Error -both advance and delayed habitat creation ▲","Check Data ⚠",IF(AB12="Check Data ⚠","Check Data ⚠",IF(Y12="","",IF(Z12="30+",0,IF(AA12="30+","30+ ⚠",IF(Y12+AA12&gt;30,"30+ ⚠",IF(Y12+AA12-Z12&gt;0,Y12+AA12-Z12,IF(Y12-Z12&lt;0,0,Y12+AA12-Z12))))))))</f>
        <v>1</v>
      </c>
      <c r="AD12" s="880">
        <f>IFERROR(IF(AC12="Check Data ⚠","Check Data ⚠",VLOOKUP(AC12,'G-4 Temporal multipliers'!$A$4:$C$37,3,FALSE)),"")</f>
        <v>0.96499999999999997</v>
      </c>
      <c r="AE12" s="443" t="str">
        <f>IF(N12="","",VLOOKUP(N12,'G-7 WaterC'' Data'!$B$4:$G$8,5,FALSE))</f>
        <v>Medium</v>
      </c>
      <c r="AF12" s="367" t="str">
        <f>IF(N12="","",IF(AC12="Check Data ⚠","Check Data ⚠",IF(T12="","",IF($AB12="Check details - Is there evidence that habitat has reached target condition? ⚠","Low Difficulty - only applicable if all habitat created before losses ⚠","Standard difficulty applied"))))</f>
        <v>Standard difficulty applied</v>
      </c>
      <c r="AG12" s="846" t="str">
        <f>(IF(AND(AF12="Standard difficulty applied",Y12&gt;Z12),AE12,IF(AND(AF12="Low Difficulty - only applicable if all habitat created before losses ⚠",Z12&gt;=Y12),"Low",AE12)))</f>
        <v>Medium</v>
      </c>
      <c r="AH12" s="790">
        <f t="shared" ref="AH12:AH75" si="1">IF(N12="","",VLOOKUP(AE12,Difficulty,2,FALSE))</f>
        <v>0.67</v>
      </c>
      <c r="AI12" s="841" t="s">
        <v>1126</v>
      </c>
      <c r="AJ12" s="790">
        <f>IF(AI12="","",IF(VLOOKUP(AI12,'G-7 WaterC'' Data'!$AA$4:$AB$7,2,FALSE)=0,"Spatial Data Missing ⚠",VLOOKUP(AI12,'G-7 WaterC'' Data'!$AA$4:$AB$7,2,FALSE)))</f>
        <v>1</v>
      </c>
      <c r="AK12" s="881" t="s">
        <v>1142</v>
      </c>
      <c r="AL12" s="790">
        <f>IF(AK12="","",IF(VLOOKUP(AK12,'G-7 WaterC'' Data'!$AD$4:$AE$14,2,FALSE)=0,"Spatial Data Missing ⚠",VLOOKUP(AK12,'G-7 WaterC'' Data'!$AD$4:$AE$14,2,FALSE)))</f>
        <v>0.87</v>
      </c>
      <c r="AM12" s="848">
        <f>IFERROR(IF(C12="","",IF(Q12&gt;D12,((((Q12*S12*U12)-(D12*F12*H12))*(AH12*AD12))+(D12*F12*H12))*(AL12*X12*AJ12),((((Q12*S12*U12)-(Q12*F12*H12))*(AH12*AD12))+(Q12*F12*H12))*(AL12*X12*AJ12))),"")</f>
        <v>0.10530534164325848</v>
      </c>
      <c r="AN12" s="136"/>
      <c r="AO12" s="137"/>
      <c r="AP12" s="118" t="s">
        <v>2002</v>
      </c>
      <c r="AV12" s="30" t="str">
        <f>IFERROR(INDEX('G-7 WaterC'' Data'!$AZ$3:$AZ$7,MATCH(N12,'G-7 WaterC'' Data'!$AY$3:$AY$7,0)),"")</f>
        <v>Rivercond1</v>
      </c>
    </row>
    <row r="13" spans="2:48" ht="28.5" x14ac:dyDescent="0.2">
      <c r="B13" s="392">
        <f>'C-1 On-Site WaterC'' Baseline'!AO11</f>
        <v>2</v>
      </c>
      <c r="C13" s="382" t="str">
        <f>IF(B13="","",VLOOKUP($B13,'C-1 On-Site WaterC'' Baseline'!$C$9:$R$257,2,FALSE))</f>
        <v>Ditches</v>
      </c>
      <c r="D13" s="382">
        <f>IF(C13="","",VLOOKUP($B13,'C-1 On-Site WaterC'' Baseline'!$C$9:$R$257,3,FALSE))</f>
        <v>0.32189112664318009</v>
      </c>
      <c r="E13" s="382" t="str">
        <f>IF(D13="","",VLOOKUP($B13,'C-1 On-Site WaterC'' Baseline'!$C$9:$R$257,4,FALSE))</f>
        <v>Medium</v>
      </c>
      <c r="F13" s="382">
        <f>IF(E13="","",VLOOKUP($B13,'C-1 On-Site WaterC'' Baseline'!$C$9:$R$257,5,FALSE))</f>
        <v>4</v>
      </c>
      <c r="G13" s="382" t="str">
        <f>IF(F13="","",VLOOKUP($B13,'C-1 On-Site WaterC'' Baseline'!$C$9:$R$257,6,FALSE))</f>
        <v>Poor</v>
      </c>
      <c r="H13" s="382">
        <f>IF(G13="","",VLOOKUP($B13,'C-1 On-Site WaterC'' Baseline'!$C$9:$R$257,7,FALSE))</f>
        <v>1</v>
      </c>
      <c r="I13" s="382" t="str">
        <f>IF(H13="","",VLOOKUP($B13,'C-1 On-Site WaterC'' Baseline'!$C$9:$R$257,8,FALSE))</f>
        <v>Area/compensation not in local strategy/ no local strategy</v>
      </c>
      <c r="J13" s="382" t="str">
        <f>IF(I13="","",VLOOKUP($B13,'C-1 On-Site WaterC'' Baseline'!$C$9:$R$257,9,FALSE))</f>
        <v>Low Strategic Significance</v>
      </c>
      <c r="K13" s="382">
        <f>IF(J13="","",VLOOKUP($B13,'C-1 On-Site WaterC'' Baseline'!$C$9:$R$257,10,FALSE))</f>
        <v>1</v>
      </c>
      <c r="L13" s="382" t="str">
        <f>IF(B13="","",VLOOKUP($B13,'C-1 On-Site WaterC'' Baseline'!$C$9:$R$257,15,FALSE))</f>
        <v>Same habitat required =</v>
      </c>
      <c r="M13" s="386">
        <f>IF(L13="","",VLOOKUP($B13,'C-1 On-Site WaterC'' Baseline'!$C$9:$R$257,16,FALSE))</f>
        <v>0.96567337992954028</v>
      </c>
      <c r="N13" s="320" t="str">
        <f t="shared" si="0"/>
        <v>Ditches</v>
      </c>
      <c r="O13" s="362" t="str">
        <f t="shared" ref="O13:O76" si="2">IF(B13="","",IF(S13&lt;F13,"Error Trading Down ▲",E13&amp;" - "&amp;R13))</f>
        <v>Medium - Medium</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Poor - Poor</v>
      </c>
      <c r="Q13" s="425">
        <f>IF(N13="","",VLOOKUP(B13,'C-1 On-Site WaterC'' Baseline'!$C$10:$AB$257,19,FALSE))</f>
        <v>0.32189112664318009</v>
      </c>
      <c r="R13" s="362" t="str">
        <f>IF(N13="","",VLOOKUP(N13,'G-7 WaterC'' Data'!$B$2:$G$8,2,FALSE))</f>
        <v>Medium</v>
      </c>
      <c r="S13" s="363">
        <f>IFERROR(VLOOKUP(R13,'G-7 WaterC'' Data'!$C$4:$D$8,2,FALSE),"")</f>
        <v>4</v>
      </c>
      <c r="T13" s="114" t="s">
        <v>329</v>
      </c>
      <c r="U13" s="363">
        <f>IFERROR(INDEX('G-7 WaterC'' Data'!$H$4:$L$8,MATCH(N13,'G-7 WaterC'' Data'!$B$4:$B$8,0),MATCH(T13,'G-7 WaterC'' Data'!$H$3:$L$3,0)),"")</f>
        <v>1</v>
      </c>
      <c r="V13" s="114" t="s">
        <v>1037</v>
      </c>
      <c r="W13" s="370" t="str">
        <f>IF(V13="","",IF(VLOOKUP(V13,'G-7 WaterC'' Data'!$AK$4:$AM$6,2,FALSE)=0,"Spatial Data Missing ⚠",VLOOKUP(V13,'G-7 WaterC'' Data'!$AK$4:$AM$6,2,FALSE)))</f>
        <v>Low Strategic Significance</v>
      </c>
      <c r="X13" s="363">
        <f>IF(V13="","",IF(VLOOKUP(V13,'G-7 WaterC'' Data'!$AK$4:$AM$6,3,FALSE)=0,"Spatial Data Missing ⚠",VLOOKUP(V13,'G-7 WaterC'' Data'!$AK$4:$AM$6,3,FALSE)))</f>
        <v>1</v>
      </c>
      <c r="Y13" s="362">
        <f>IFERROR(IF(OR(LEFT(P13,5)="Error",LEFT(O13,5)="Error ▲"),"Check Data ⚠",IF(F13&lt;S13,'G-7 WaterC'' Data'!$R$3,INDEX('G-7 WaterC'' Data'!$U$5:$Y$9,MATCH(G13,'G-7 WaterC'' Data'!$T$5:$T$9,0),MATCH(T13,'G-7 WaterC'' Data'!$U$4:$Y$4,0)))),"")</f>
        <v>1</v>
      </c>
      <c r="Z13" s="159">
        <v>0</v>
      </c>
      <c r="AA13" s="159">
        <v>0</v>
      </c>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Standard time to target condition applied</v>
      </c>
      <c r="AC13" s="383">
        <f t="shared" ref="AC13:AC76" si="4">IF(AB13="Error -both advance and delayed habitat creation ▲","Check Data ⚠",IF(AB13="Check Data ⚠","Check Data ⚠",IF(Y13="","",IF(Z13="30+",0,IF(AA13="30+","30+ ⚠",IF(Y13+AA13&gt;30,"30+ ⚠",IF(Y13+AA13-Z13&gt;0,Y13+AA13-Z13,IF(Y13-Z13&lt;0,0,Y13+AA13-Z13))))))))</f>
        <v>1</v>
      </c>
      <c r="AD13" s="422">
        <f>IFERROR(IF(AC13="Check Data ⚠","Check Data ⚠",VLOOKUP(AC13,'G-4 Temporal multipliers'!$A$4:$C$37,3,FALSE)),"")</f>
        <v>0.96499999999999997</v>
      </c>
      <c r="AE13" s="362" t="str">
        <f>IF(N13="","",VLOOKUP(N13,'G-7 WaterC'' Data'!$B$4:$G$8,5,FALSE))</f>
        <v>Medium</v>
      </c>
      <c r="AF13" s="370" t="str">
        <f t="shared" ref="AF13:AF76" si="5">IF(N13="","",IF(AC13="Check Data ⚠","Check Data ⚠",IF(T13="","",IF($AB13="Check details - Is there evidence that habitat has reached target condition? ⚠","Low Difficulty - only applicable if all habitat created before losses ⚠","Standard difficulty applied"))))</f>
        <v>Standard difficulty applied</v>
      </c>
      <c r="AG13" s="401" t="str">
        <f t="shared" ref="AG13:AG76" si="6">(IF(AND(AF13="Standard difficulty applied",Y13&gt;Z13),AE13,IF(AND(AF13="Low Difficulty - only applicable if all habitat created before losses ⚠",Z13&gt;=Y13),"Low",AE13)))</f>
        <v>Medium</v>
      </c>
      <c r="AH13" s="363">
        <f t="shared" si="1"/>
        <v>0.67</v>
      </c>
      <c r="AI13" s="122" t="s">
        <v>1126</v>
      </c>
      <c r="AJ13" s="363">
        <f>IF(AI13="","",IF(VLOOKUP(AI13,'G-7 WaterC'' Data'!$AA$4:$AB$7,2,FALSE)=0,"Spatial Data Missing ⚠",VLOOKUP(AI13,'G-7 WaterC'' Data'!$AA$4:$AB$7,2,FALSE)))</f>
        <v>1</v>
      </c>
      <c r="AK13" s="123" t="s">
        <v>1142</v>
      </c>
      <c r="AL13" s="363">
        <f>IF(AK13="","",IF(VLOOKUP(AK13,'G-7 WaterC'' Data'!$AD$4:$AE$14,2,FALSE)=0,"Spatial Data Missing ⚠",VLOOKUP(AK13,'G-7 WaterC'' Data'!$AD$4:$AE$14,2,FALSE)))</f>
        <v>0.87</v>
      </c>
      <c r="AM13" s="405">
        <f>IFERROR(IF(C13="","",IF(Q13&gt;D13,((((Q13*S13*U13)-(D13*F13*H13))*(AH13*AD13))+(D13*F13*H13))*(AL13*X13*AJ13),((((Q13*S13*U13)-(Q13*F13*H13))*(AH13*AD13))+(Q13*F13*H13))*(AL13*X13*AJ13))),"")</f>
        <v>1.1201811207182668</v>
      </c>
      <c r="AN13" s="117"/>
      <c r="AO13" s="118"/>
      <c r="AP13" s="120" t="s">
        <v>2003</v>
      </c>
      <c r="AV13" s="30" t="str">
        <f>IFERROR(INDEX('G-7 WaterC'' Data'!$AZ$3:$AZ$7,MATCH(N13,'G-7 WaterC'' Data'!$AY$3:$AY$7,0)),"")</f>
        <v>Rivercond1</v>
      </c>
    </row>
    <row r="14" spans="2:48" ht="28.5" x14ac:dyDescent="0.2">
      <c r="B14" s="392">
        <f>'C-1 On-Site WaterC'' Baseline'!AO12</f>
        <v>3</v>
      </c>
      <c r="C14" s="382" t="str">
        <f>IF(B14="","",VLOOKUP($B14,'C-1 On-Site WaterC'' Baseline'!$C$9:$R$257,2,FALSE))</f>
        <v>Ditches</v>
      </c>
      <c r="D14" s="382">
        <f>IF(C14="","",VLOOKUP($B14,'C-1 On-Site WaterC'' Baseline'!$C$9:$R$257,3,FALSE))</f>
        <v>0.20587209566169831</v>
      </c>
      <c r="E14" s="382" t="str">
        <f>IF(D14="","",VLOOKUP($B14,'C-1 On-Site WaterC'' Baseline'!$C$9:$R$257,4,FALSE))</f>
        <v>Medium</v>
      </c>
      <c r="F14" s="382">
        <f>IF(E14="","",VLOOKUP($B14,'C-1 On-Site WaterC'' Baseline'!$C$9:$R$257,5,FALSE))</f>
        <v>4</v>
      </c>
      <c r="G14" s="382" t="str">
        <f>IF(F14="","",VLOOKUP($B14,'C-1 On-Site WaterC'' Baseline'!$C$9:$R$257,6,FALSE))</f>
        <v>Poor</v>
      </c>
      <c r="H14" s="382">
        <f>IF(G14="","",VLOOKUP($B14,'C-1 On-Site WaterC'' Baseline'!$C$9:$R$257,7,FALSE))</f>
        <v>1</v>
      </c>
      <c r="I14" s="382" t="str">
        <f>IF(H14="","",VLOOKUP($B14,'C-1 On-Site WaterC'' Baseline'!$C$9:$R$257,8,FALSE))</f>
        <v>Area/compensation not in local strategy/ no local strategy</v>
      </c>
      <c r="J14" s="382" t="str">
        <f>IF(I14="","",VLOOKUP($B14,'C-1 On-Site WaterC'' Baseline'!$C$9:$R$257,9,FALSE))</f>
        <v>Low Strategic Significance</v>
      </c>
      <c r="K14" s="382">
        <f>IF(J14="","",VLOOKUP($B14,'C-1 On-Site WaterC'' Baseline'!$C$9:$R$257,10,FALSE))</f>
        <v>1</v>
      </c>
      <c r="L14" s="382" t="str">
        <f>IF(B14="","",VLOOKUP($B14,'C-1 On-Site WaterC'' Baseline'!$C$9:$R$257,15,FALSE))</f>
        <v>Same habitat required =</v>
      </c>
      <c r="M14" s="386">
        <f>IF(L14="","",VLOOKUP($B14,'C-1 On-Site WaterC'' Baseline'!$C$9:$R$257,16,FALSE))</f>
        <v>0.61761628698509496</v>
      </c>
      <c r="N14" s="320" t="str">
        <f t="shared" si="0"/>
        <v>Ditches</v>
      </c>
      <c r="O14" s="362" t="str">
        <f t="shared" si="2"/>
        <v>Medium - Medium</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Poor - Poor</v>
      </c>
      <c r="Q14" s="425">
        <f>IF(N14="","",VLOOKUP(B14,'C-1 On-Site WaterC'' Baseline'!$C$10:$AB$257,19,FALSE))</f>
        <v>0.20587209566169831</v>
      </c>
      <c r="R14" s="362" t="str">
        <f>IF(N14="","",VLOOKUP(N14,'G-7 WaterC'' Data'!$B$2:$G$8,2,FALSE))</f>
        <v>Medium</v>
      </c>
      <c r="S14" s="363">
        <f>IFERROR(VLOOKUP(R14,'G-7 WaterC'' Data'!$C$4:$D$8,2,FALSE),"")</f>
        <v>4</v>
      </c>
      <c r="T14" s="114" t="s">
        <v>329</v>
      </c>
      <c r="U14" s="363">
        <f>IFERROR(INDEX('G-7 WaterC'' Data'!$H$4:$L$8,MATCH(N14,'G-7 WaterC'' Data'!$B$4:$B$8,0),MATCH(T14,'G-7 WaterC'' Data'!$H$3:$L$3,0)),"")</f>
        <v>1</v>
      </c>
      <c r="V14" s="114" t="s">
        <v>1037</v>
      </c>
      <c r="W14" s="370" t="str">
        <f>IF(V14="","",IF(VLOOKUP(V14,'G-7 WaterC'' Data'!$AK$4:$AM$6,2,FALSE)=0,"Spatial Data Missing ⚠",VLOOKUP(V14,'G-7 WaterC'' Data'!$AK$4:$AM$6,2,FALSE)))</f>
        <v>Low Strategic Significance</v>
      </c>
      <c r="X14" s="363">
        <f>IF(V14="","",IF(VLOOKUP(V14,'G-7 WaterC'' Data'!$AK$4:$AM$6,3,FALSE)=0,"Spatial Data Missing ⚠",VLOOKUP(V14,'G-7 WaterC'' Data'!$AK$4:$AM$6,3,FALSE)))</f>
        <v>1</v>
      </c>
      <c r="Y14" s="362">
        <f>IFERROR(IF(OR(LEFT(P14,5)="Error",LEFT(O14,5)="Error ▲"),"Check Data ⚠",IF(F14&lt;S14,'G-7 WaterC'' Data'!$R$3,INDEX('G-7 WaterC'' Data'!$U$5:$Y$9,MATCH(G14,'G-7 WaterC'' Data'!$T$5:$T$9,0),MATCH(T14,'G-7 WaterC'' Data'!$U$4:$Y$4,0)))),"")</f>
        <v>1</v>
      </c>
      <c r="Z14" s="159">
        <v>0</v>
      </c>
      <c r="AA14" s="159">
        <v>0</v>
      </c>
      <c r="AB14" s="370" t="str">
        <f t="shared" si="3"/>
        <v>Standard time to target condition applied</v>
      </c>
      <c r="AC14" s="383">
        <f t="shared" si="4"/>
        <v>1</v>
      </c>
      <c r="AD14" s="422">
        <f>IFERROR(IF(AC14="Check Data ⚠","Check Data ⚠",VLOOKUP(AC14,'G-4 Temporal multipliers'!$A$4:$C$37,3,FALSE)),"")</f>
        <v>0.96499999999999997</v>
      </c>
      <c r="AE14" s="362" t="str">
        <f>IF(N14="","",VLOOKUP(N14,'G-7 WaterC'' Data'!$B$4:$G$8,5,FALSE))</f>
        <v>Medium</v>
      </c>
      <c r="AF14" s="370" t="str">
        <f t="shared" si="5"/>
        <v>Standard difficulty applied</v>
      </c>
      <c r="AG14" s="401" t="str">
        <f t="shared" si="6"/>
        <v>Medium</v>
      </c>
      <c r="AH14" s="363">
        <f t="shared" si="1"/>
        <v>0.67</v>
      </c>
      <c r="AI14" s="122" t="s">
        <v>1126</v>
      </c>
      <c r="AJ14" s="363">
        <f>IF(AI14="","",IF(VLOOKUP(AI14,'G-7 WaterC'' Data'!$AA$4:$AB$7,2,FALSE)=0,"Spatial Data Missing ⚠",VLOOKUP(AI14,'G-7 WaterC'' Data'!$AA$4:$AB$7,2,FALSE)))</f>
        <v>1</v>
      </c>
      <c r="AK14" s="123" t="s">
        <v>1142</v>
      </c>
      <c r="AL14" s="363">
        <f>IF(AK14="","",IF(VLOOKUP(AK14,'G-7 WaterC'' Data'!$AD$4:$AE$14,2,FALSE)=0,"Spatial Data Missing ⚠",VLOOKUP(AK14,'G-7 WaterC'' Data'!$AD$4:$AE$14,2,FALSE)))</f>
        <v>0.87</v>
      </c>
      <c r="AM14" s="405">
        <f t="shared" ref="AM14:AM77" si="7">IFERROR(IF(C14="","",IF(Q14&gt;D14,((((Q14*S14*U14)-(D14*F14*H14))*(AH14*AD14))+(D14*F14*H14))*(AL14*X14*AJ14),((((Q14*S14*U14)-(Q14*F14*H14))*(AH14*AD14))+(Q14*F14*H14))*(AL14*X14*AJ14))),"")</f>
        <v>0.71643489290271012</v>
      </c>
      <c r="AN14" s="117"/>
      <c r="AO14" s="118"/>
      <c r="AP14" s="120" t="s">
        <v>2004</v>
      </c>
      <c r="AV14" s="30" t="str">
        <f>IFERROR(INDEX('G-7 WaterC'' Data'!$AZ$3:$AZ$7,MATCH(N14,'G-7 WaterC'' Data'!$AY$3:$AY$7,0)),"")</f>
        <v>Rivercond1</v>
      </c>
    </row>
    <row r="15" spans="2:48" ht="28.5" x14ac:dyDescent="0.2">
      <c r="B15" s="392">
        <f>'C-1 On-Site WaterC'' Baseline'!AO13</f>
        <v>4</v>
      </c>
      <c r="C15" s="382" t="str">
        <f>IF(B15="","",VLOOKUP($B15,'C-1 On-Site WaterC'' Baseline'!$C$9:$R$257,2,FALSE))</f>
        <v>Ditches</v>
      </c>
      <c r="D15" s="382">
        <f>IF(C15="","",VLOOKUP($B15,'C-1 On-Site WaterC'' Baseline'!$C$9:$R$257,3,FALSE))</f>
        <v>0.43616261407578522</v>
      </c>
      <c r="E15" s="382" t="str">
        <f>IF(D15="","",VLOOKUP($B15,'C-1 On-Site WaterC'' Baseline'!$C$9:$R$257,4,FALSE))</f>
        <v>Medium</v>
      </c>
      <c r="F15" s="382">
        <f>IF(E15="","",VLOOKUP($B15,'C-1 On-Site WaterC'' Baseline'!$C$9:$R$257,5,FALSE))</f>
        <v>4</v>
      </c>
      <c r="G15" s="382" t="str">
        <f>IF(F15="","",VLOOKUP($B15,'C-1 On-Site WaterC'' Baseline'!$C$9:$R$257,6,FALSE))</f>
        <v>Poor</v>
      </c>
      <c r="H15" s="382">
        <f>IF(G15="","",VLOOKUP($B15,'C-1 On-Site WaterC'' Baseline'!$C$9:$R$257,7,FALSE))</f>
        <v>1</v>
      </c>
      <c r="I15" s="382" t="str">
        <f>IF(H15="","",VLOOKUP($B15,'C-1 On-Site WaterC'' Baseline'!$C$9:$R$257,8,FALSE))</f>
        <v>Area/compensation not in local strategy/ no local strategy</v>
      </c>
      <c r="J15" s="382" t="str">
        <f>IF(I15="","",VLOOKUP($B15,'C-1 On-Site WaterC'' Baseline'!$C$9:$R$257,9,FALSE))</f>
        <v>Low Strategic Significance</v>
      </c>
      <c r="K15" s="382">
        <f>IF(J15="","",VLOOKUP($B15,'C-1 On-Site WaterC'' Baseline'!$C$9:$R$257,10,FALSE))</f>
        <v>1</v>
      </c>
      <c r="L15" s="382" t="str">
        <f>IF(B15="","",VLOOKUP($B15,'C-1 On-Site WaterC'' Baseline'!$C$9:$R$257,15,FALSE))</f>
        <v>Same habitat required =</v>
      </c>
      <c r="M15" s="386">
        <f>IF(L15="","",VLOOKUP($B15,'C-1 On-Site WaterC'' Baseline'!$C$9:$R$257,16,FALSE))</f>
        <v>1.3084878422273556</v>
      </c>
      <c r="N15" s="320" t="str">
        <f t="shared" si="0"/>
        <v>Ditches</v>
      </c>
      <c r="O15" s="362" t="str">
        <f t="shared" si="2"/>
        <v>Medium - Medium</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Poor - Poor</v>
      </c>
      <c r="Q15" s="425">
        <f>IF(N15="","",VLOOKUP(B15,'C-1 On-Site WaterC'' Baseline'!$C$10:$AB$257,19,FALSE))</f>
        <v>0.43616261407578522</v>
      </c>
      <c r="R15" s="362" t="str">
        <f>IF(N15="","",VLOOKUP(N15,'G-7 WaterC'' Data'!$B$2:$G$8,2,FALSE))</f>
        <v>Medium</v>
      </c>
      <c r="S15" s="363">
        <f>IFERROR(VLOOKUP(R15,'G-7 WaterC'' Data'!$C$4:$D$8,2,FALSE),"")</f>
        <v>4</v>
      </c>
      <c r="T15" s="114" t="s">
        <v>329</v>
      </c>
      <c r="U15" s="363">
        <f>IFERROR(INDEX('G-7 WaterC'' Data'!$H$4:$L$8,MATCH(N15,'G-7 WaterC'' Data'!$B$4:$B$8,0),MATCH(T15,'G-7 WaterC'' Data'!$H$3:$L$3,0)),"")</f>
        <v>1</v>
      </c>
      <c r="V15" s="114" t="s">
        <v>1037</v>
      </c>
      <c r="W15" s="370" t="str">
        <f>IF(V15="","",IF(VLOOKUP(V15,'G-7 WaterC'' Data'!$AK$4:$AM$6,2,FALSE)=0,"Spatial Data Missing ⚠",VLOOKUP(V15,'G-7 WaterC'' Data'!$AK$4:$AM$6,2,FALSE)))</f>
        <v>Low Strategic Significance</v>
      </c>
      <c r="X15" s="363">
        <f>IF(V15="","",IF(VLOOKUP(V15,'G-7 WaterC'' Data'!$AK$4:$AM$6,3,FALSE)=0,"Spatial Data Missing ⚠",VLOOKUP(V15,'G-7 WaterC'' Data'!$AK$4:$AM$6,3,FALSE)))</f>
        <v>1</v>
      </c>
      <c r="Y15" s="362">
        <f>IFERROR(IF(OR(LEFT(P15,5)="Error",LEFT(O15,5)="Error ▲"),"Check Data ⚠",IF(F15&lt;S15,'G-7 WaterC'' Data'!$R$3,INDEX('G-7 WaterC'' Data'!$U$5:$Y$9,MATCH(G15,'G-7 WaterC'' Data'!$T$5:$T$9,0),MATCH(T15,'G-7 WaterC'' Data'!$U$4:$Y$4,0)))),"")</f>
        <v>1</v>
      </c>
      <c r="Z15" s="159">
        <v>0</v>
      </c>
      <c r="AA15" s="159">
        <v>0</v>
      </c>
      <c r="AB15" s="370" t="str">
        <f t="shared" si="3"/>
        <v>Standard time to target condition applied</v>
      </c>
      <c r="AC15" s="383">
        <f t="shared" si="4"/>
        <v>1</v>
      </c>
      <c r="AD15" s="422">
        <f>IFERROR(IF(AC15="Check Data ⚠","Check Data ⚠",VLOOKUP(AC15,'G-4 Temporal multipliers'!$A$4:$C$37,3,FALSE)),"")</f>
        <v>0.96499999999999997</v>
      </c>
      <c r="AE15" s="362" t="str">
        <f>IF(N15="","",VLOOKUP(N15,'G-7 WaterC'' Data'!$B$4:$G$8,5,FALSE))</f>
        <v>Medium</v>
      </c>
      <c r="AF15" s="370" t="str">
        <f t="shared" si="5"/>
        <v>Standard difficulty applied</v>
      </c>
      <c r="AG15" s="401" t="str">
        <f t="shared" si="6"/>
        <v>Medium</v>
      </c>
      <c r="AH15" s="363">
        <f t="shared" si="1"/>
        <v>0.67</v>
      </c>
      <c r="AI15" s="122" t="s">
        <v>1126</v>
      </c>
      <c r="AJ15" s="363">
        <f>IF(AI15="","",IF(VLOOKUP(AI15,'G-7 WaterC'' Data'!$AA$4:$AB$7,2,FALSE)=0,"Spatial Data Missing ⚠",VLOOKUP(AI15,'G-7 WaterC'' Data'!$AA$4:$AB$7,2,FALSE)))</f>
        <v>1</v>
      </c>
      <c r="AK15" s="123" t="s">
        <v>1142</v>
      </c>
      <c r="AL15" s="363">
        <f>IF(AK15="","",IF(VLOOKUP(AK15,'G-7 WaterC'' Data'!$AD$4:$AE$14,2,FALSE)=0,"Spatial Data Missing ⚠",VLOOKUP(AK15,'G-7 WaterC'' Data'!$AD$4:$AE$14,2,FALSE)))</f>
        <v>0.87</v>
      </c>
      <c r="AM15" s="405">
        <f t="shared" si="7"/>
        <v>1.5178458969837325</v>
      </c>
      <c r="AN15" s="117"/>
      <c r="AO15" s="118"/>
      <c r="AP15" s="120" t="s">
        <v>2005</v>
      </c>
      <c r="AV15" s="30" t="str">
        <f>IFERROR(INDEX('G-7 WaterC'' Data'!$AZ$3:$AZ$7,MATCH(N15,'G-7 WaterC'' Data'!$AY$3:$AY$7,0)),"")</f>
        <v>Rivercond1</v>
      </c>
    </row>
    <row r="16" spans="2:48" ht="28.5" x14ac:dyDescent="0.2">
      <c r="B16" s="392">
        <f>'C-1 On-Site WaterC'' Baseline'!AO14</f>
        <v>5</v>
      </c>
      <c r="C16" s="382" t="str">
        <f>IF(B16="","",VLOOKUP($B16,'C-1 On-Site WaterC'' Baseline'!$C$9:$R$257,2,FALSE))</f>
        <v>Ditches</v>
      </c>
      <c r="D16" s="382">
        <f>IF(C16="","",VLOOKUP($B16,'C-1 On-Site WaterC'' Baseline'!$C$9:$R$257,3,FALSE))</f>
        <v>0.34604732053178205</v>
      </c>
      <c r="E16" s="382" t="str">
        <f>IF(D16="","",VLOOKUP($B16,'C-1 On-Site WaterC'' Baseline'!$C$9:$R$257,4,FALSE))</f>
        <v>Medium</v>
      </c>
      <c r="F16" s="382">
        <f>IF(E16="","",VLOOKUP($B16,'C-1 On-Site WaterC'' Baseline'!$C$9:$R$257,5,FALSE))</f>
        <v>4</v>
      </c>
      <c r="G16" s="382" t="str">
        <f>IF(F16="","",VLOOKUP($B16,'C-1 On-Site WaterC'' Baseline'!$C$9:$R$257,6,FALSE))</f>
        <v>Poor</v>
      </c>
      <c r="H16" s="382">
        <f>IF(G16="","",VLOOKUP($B16,'C-1 On-Site WaterC'' Baseline'!$C$9:$R$257,7,FALSE))</f>
        <v>1</v>
      </c>
      <c r="I16" s="382" t="str">
        <f>IF(H16="","",VLOOKUP($B16,'C-1 On-Site WaterC'' Baseline'!$C$9:$R$257,8,FALSE))</f>
        <v>Area/compensation not in local strategy/ no local strategy</v>
      </c>
      <c r="J16" s="382" t="str">
        <f>IF(I16="","",VLOOKUP($B16,'C-1 On-Site WaterC'' Baseline'!$C$9:$R$257,9,FALSE))</f>
        <v>Low Strategic Significance</v>
      </c>
      <c r="K16" s="382">
        <f>IF(J16="","",VLOOKUP($B16,'C-1 On-Site WaterC'' Baseline'!$C$9:$R$257,10,FALSE))</f>
        <v>1</v>
      </c>
      <c r="L16" s="382" t="str">
        <f>IF(B16="","",VLOOKUP($B16,'C-1 On-Site WaterC'' Baseline'!$C$9:$R$257,15,FALSE))</f>
        <v>Same habitat required =</v>
      </c>
      <c r="M16" s="386">
        <f>IF(L16="","",VLOOKUP($B16,'C-1 On-Site WaterC'' Baseline'!$C$9:$R$257,16,FALSE))</f>
        <v>1.0381419615953462</v>
      </c>
      <c r="N16" s="320" t="str">
        <f t="shared" si="0"/>
        <v>Ditches</v>
      </c>
      <c r="O16" s="362" t="str">
        <f t="shared" si="2"/>
        <v>Medium - Medium</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Poor - Poor</v>
      </c>
      <c r="Q16" s="425">
        <f>IF(N16="","",VLOOKUP(B16,'C-1 On-Site WaterC'' Baseline'!$C$10:$AB$257,19,FALSE))</f>
        <v>0.34604732053178205</v>
      </c>
      <c r="R16" s="362" t="str">
        <f>IF(N16="","",VLOOKUP(N16,'G-7 WaterC'' Data'!$B$2:$G$8,2,FALSE))</f>
        <v>Medium</v>
      </c>
      <c r="S16" s="363">
        <f>IFERROR(VLOOKUP(R16,'G-7 WaterC'' Data'!$C$4:$D$8,2,FALSE),"")</f>
        <v>4</v>
      </c>
      <c r="T16" s="114" t="s">
        <v>329</v>
      </c>
      <c r="U16" s="363">
        <f>IFERROR(INDEX('G-7 WaterC'' Data'!$H$4:$L$8,MATCH(N16,'G-7 WaterC'' Data'!$B$4:$B$8,0),MATCH(T16,'G-7 WaterC'' Data'!$H$3:$L$3,0)),"")</f>
        <v>1</v>
      </c>
      <c r="V16" s="114" t="s">
        <v>1037</v>
      </c>
      <c r="W16" s="370" t="str">
        <f>IF(V16="","",IF(VLOOKUP(V16,'G-7 WaterC'' Data'!$AK$4:$AM$6,2,FALSE)=0,"Spatial Data Missing ⚠",VLOOKUP(V16,'G-7 WaterC'' Data'!$AK$4:$AM$6,2,FALSE)))</f>
        <v>Low Strategic Significance</v>
      </c>
      <c r="X16" s="363">
        <f>IF(V16="","",IF(VLOOKUP(V16,'G-7 WaterC'' Data'!$AK$4:$AM$6,3,FALSE)=0,"Spatial Data Missing ⚠",VLOOKUP(V16,'G-7 WaterC'' Data'!$AK$4:$AM$6,3,FALSE)))</f>
        <v>1</v>
      </c>
      <c r="Y16" s="362">
        <f>IFERROR(IF(OR(LEFT(P16,5)="Error",LEFT(O16,5)="Error ▲"),"Check Data ⚠",IF(F16&lt;S16,'G-7 WaterC'' Data'!$R$3,INDEX('G-7 WaterC'' Data'!$U$5:$Y$9,MATCH(G16,'G-7 WaterC'' Data'!$T$5:$T$9,0),MATCH(T16,'G-7 WaterC'' Data'!$U$4:$Y$4,0)))),"")</f>
        <v>1</v>
      </c>
      <c r="Z16" s="159">
        <v>0</v>
      </c>
      <c r="AA16" s="159">
        <v>0</v>
      </c>
      <c r="AB16" s="370" t="str">
        <f t="shared" si="3"/>
        <v>Standard time to target condition applied</v>
      </c>
      <c r="AC16" s="383">
        <f t="shared" si="4"/>
        <v>1</v>
      </c>
      <c r="AD16" s="422">
        <f>IFERROR(IF(AC16="Check Data ⚠","Check Data ⚠",VLOOKUP(AC16,'G-4 Temporal multipliers'!$A$4:$C$37,3,FALSE)),"")</f>
        <v>0.96499999999999997</v>
      </c>
      <c r="AE16" s="362" t="str">
        <f>IF(N16="","",VLOOKUP(N16,'G-7 WaterC'' Data'!$B$4:$G$8,5,FALSE))</f>
        <v>Medium</v>
      </c>
      <c r="AF16" s="370" t="str">
        <f t="shared" si="5"/>
        <v>Standard difficulty applied</v>
      </c>
      <c r="AG16" s="401" t="str">
        <f t="shared" si="6"/>
        <v>Medium</v>
      </c>
      <c r="AH16" s="363">
        <f t="shared" si="1"/>
        <v>0.67</v>
      </c>
      <c r="AI16" s="122" t="s">
        <v>1126</v>
      </c>
      <c r="AJ16" s="363">
        <f>IF(AI16="","",IF(VLOOKUP(AI16,'G-7 WaterC'' Data'!$AA$4:$AB$7,2,FALSE)=0,"Spatial Data Missing ⚠",VLOOKUP(AI16,'G-7 WaterC'' Data'!$AA$4:$AB$7,2,FALSE)))</f>
        <v>1</v>
      </c>
      <c r="AK16" s="123" t="s">
        <v>1142</v>
      </c>
      <c r="AL16" s="363">
        <f>IF(AK16="","",IF(VLOOKUP(AK16,'G-7 WaterC'' Data'!$AD$4:$AE$14,2,FALSE)=0,"Spatial Data Missing ⚠",VLOOKUP(AK16,'G-7 WaterC'' Data'!$AD$4:$AE$14,2,FALSE)))</f>
        <v>0.87</v>
      </c>
      <c r="AM16" s="405">
        <f t="shared" si="7"/>
        <v>1.2042446754506015</v>
      </c>
      <c r="AN16" s="117"/>
      <c r="AO16" s="118"/>
      <c r="AP16" s="120" t="s">
        <v>2006</v>
      </c>
      <c r="AV16" s="30" t="str">
        <f>IFERROR(INDEX('G-7 WaterC'' Data'!$AZ$3:$AZ$7,MATCH(N16,'G-7 WaterC'' Data'!$AY$3:$AY$7,0)),"")</f>
        <v>Rivercond1</v>
      </c>
    </row>
    <row r="17" spans="2:48" ht="28.5" x14ac:dyDescent="0.2">
      <c r="B17" s="392">
        <f>'C-1 On-Site WaterC'' Baseline'!AO15</f>
        <v>7</v>
      </c>
      <c r="C17" s="382" t="str">
        <f>IF(B17="","",VLOOKUP($B17,'C-1 On-Site WaterC'' Baseline'!$C$9:$R$257,2,FALSE))</f>
        <v>Ditches</v>
      </c>
      <c r="D17" s="382">
        <f>IF(C17="","",VLOOKUP($B17,'C-1 On-Site WaterC'' Baseline'!$C$9:$R$257,3,FALSE))</f>
        <v>2.2191053641559302E-5</v>
      </c>
      <c r="E17" s="382" t="str">
        <f>IF(D17="","",VLOOKUP($B17,'C-1 On-Site WaterC'' Baseline'!$C$9:$R$257,4,FALSE))</f>
        <v>Medium</v>
      </c>
      <c r="F17" s="382">
        <f>IF(E17="","",VLOOKUP($B17,'C-1 On-Site WaterC'' Baseline'!$C$9:$R$257,5,FALSE))</f>
        <v>4</v>
      </c>
      <c r="G17" s="382" t="str">
        <f>IF(F17="","",VLOOKUP($B17,'C-1 On-Site WaterC'' Baseline'!$C$9:$R$257,6,FALSE))</f>
        <v>Poor</v>
      </c>
      <c r="H17" s="382">
        <f>IF(G17="","",VLOOKUP($B17,'C-1 On-Site WaterC'' Baseline'!$C$9:$R$257,7,FALSE))</f>
        <v>1</v>
      </c>
      <c r="I17" s="382" t="str">
        <f>IF(H17="","",VLOOKUP($B17,'C-1 On-Site WaterC'' Baseline'!$C$9:$R$257,8,FALSE))</f>
        <v>Formally identified in local strategy</v>
      </c>
      <c r="J17" s="382" t="str">
        <f>IF(I17="","",VLOOKUP($B17,'C-1 On-Site WaterC'' Baseline'!$C$9:$R$257,9,FALSE))</f>
        <v xml:space="preserve">High strategic significance </v>
      </c>
      <c r="K17" s="382">
        <f>IF(J17="","",VLOOKUP($B17,'C-1 On-Site WaterC'' Baseline'!$C$9:$R$257,10,FALSE))</f>
        <v>1.1499999999999999</v>
      </c>
      <c r="L17" s="382" t="str">
        <f>IF(B17="","",VLOOKUP($B17,'C-1 On-Site WaterC'' Baseline'!$C$9:$R$257,15,FALSE))</f>
        <v>Same habitat required =</v>
      </c>
      <c r="M17" s="386">
        <f>IF(L17="","",VLOOKUP($B17,'C-1 On-Site WaterC'' Baseline'!$C$9:$R$257,16,FALSE))</f>
        <v>7.6559135063379585E-5</v>
      </c>
      <c r="N17" s="320" t="str">
        <f t="shared" si="0"/>
        <v>Ditches</v>
      </c>
      <c r="O17" s="362" t="str">
        <f t="shared" si="2"/>
        <v>Medium - Medium</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Poor - Poor</v>
      </c>
      <c r="Q17" s="425">
        <f>IF(N17="","",VLOOKUP(B17,'C-1 On-Site WaterC'' Baseline'!$C$10:$AB$257,19,FALSE))</f>
        <v>2.2191053641559302E-5</v>
      </c>
      <c r="R17" s="362" t="str">
        <f>IF(N17="","",VLOOKUP(N17,'G-7 WaterC'' Data'!$B$2:$G$8,2,FALSE))</f>
        <v>Medium</v>
      </c>
      <c r="S17" s="363">
        <f>IFERROR(VLOOKUP(R17,'G-7 WaterC'' Data'!$C$4:$D$8,2,FALSE),"")</f>
        <v>4</v>
      </c>
      <c r="T17" s="114" t="s">
        <v>329</v>
      </c>
      <c r="U17" s="363">
        <f>IFERROR(INDEX('G-7 WaterC'' Data'!$H$4:$L$8,MATCH(N17,'G-7 WaterC'' Data'!$B$4:$B$8,0),MATCH(T17,'G-7 WaterC'' Data'!$H$3:$L$3,0)),"")</f>
        <v>1</v>
      </c>
      <c r="V17" s="114" t="s">
        <v>1029</v>
      </c>
      <c r="W17" s="370" t="str">
        <f>IF(V17="","",IF(VLOOKUP(V17,'G-7 WaterC'' Data'!$AK$4:$AM$6,2,FALSE)=0,"Spatial Data Missing ⚠",VLOOKUP(V17,'G-7 WaterC'' Data'!$AK$4:$AM$6,2,FALSE)))</f>
        <v xml:space="preserve">High strategic significance </v>
      </c>
      <c r="X17" s="363">
        <f>IF(V17="","",IF(VLOOKUP(V17,'G-7 WaterC'' Data'!$AK$4:$AM$6,3,FALSE)=0,"Spatial Data Missing ⚠",VLOOKUP(V17,'G-7 WaterC'' Data'!$AK$4:$AM$6,3,FALSE)))</f>
        <v>1.1499999999999999</v>
      </c>
      <c r="Y17" s="362">
        <f>IFERROR(IF(OR(LEFT(P17,5)="Error",LEFT(O17,5)="Error ▲"),"Check Data ⚠",IF(F17&lt;S17,'G-7 WaterC'' Data'!$R$3,INDEX('G-7 WaterC'' Data'!$U$5:$Y$9,MATCH(G17,'G-7 WaterC'' Data'!$T$5:$T$9,0),MATCH(T17,'G-7 WaterC'' Data'!$U$4:$Y$4,0)))),"")</f>
        <v>1</v>
      </c>
      <c r="Z17" s="159">
        <v>0</v>
      </c>
      <c r="AA17" s="159">
        <v>0</v>
      </c>
      <c r="AB17" s="370" t="str">
        <f t="shared" si="3"/>
        <v>Standard time to target condition applied</v>
      </c>
      <c r="AC17" s="383">
        <f t="shared" si="4"/>
        <v>1</v>
      </c>
      <c r="AD17" s="422">
        <f>IFERROR(IF(AC17="Check Data ⚠","Check Data ⚠",VLOOKUP(AC17,'G-4 Temporal multipliers'!$A$4:$C$37,3,FALSE)),"")</f>
        <v>0.96499999999999997</v>
      </c>
      <c r="AE17" s="362" t="str">
        <f>IF(N17="","",VLOOKUP(N17,'G-7 WaterC'' Data'!$B$4:$G$8,5,FALSE))</f>
        <v>Medium</v>
      </c>
      <c r="AF17" s="370" t="str">
        <f t="shared" si="5"/>
        <v>Standard difficulty applied</v>
      </c>
      <c r="AG17" s="401" t="str">
        <f t="shared" si="6"/>
        <v>Medium</v>
      </c>
      <c r="AH17" s="363">
        <f t="shared" si="1"/>
        <v>0.67</v>
      </c>
      <c r="AI17" s="122" t="s">
        <v>1126</v>
      </c>
      <c r="AJ17" s="363">
        <f>IF(AI17="","",IF(VLOOKUP(AI17,'G-7 WaterC'' Data'!$AA$4:$AB$7,2,FALSE)=0,"Spatial Data Missing ⚠",VLOOKUP(AI17,'G-7 WaterC'' Data'!$AA$4:$AB$7,2,FALSE)))</f>
        <v>1</v>
      </c>
      <c r="AK17" s="123" t="s">
        <v>1142</v>
      </c>
      <c r="AL17" s="363">
        <f>IF(AK17="","",IF(VLOOKUP(AK17,'G-7 WaterC'' Data'!$AD$4:$AE$14,2,FALSE)=0,"Spatial Data Missing ⚠",VLOOKUP(AK17,'G-7 WaterC'' Data'!$AD$4:$AE$14,2,FALSE)))</f>
        <v>0.87</v>
      </c>
      <c r="AM17" s="405">
        <f t="shared" si="7"/>
        <v>8.8808596673520319E-5</v>
      </c>
      <c r="AN17" s="117"/>
      <c r="AO17" s="118"/>
      <c r="AP17" s="120" t="s">
        <v>2008</v>
      </c>
      <c r="AV17" s="30" t="str">
        <f>IFERROR(INDEX('G-7 WaterC'' Data'!$AZ$3:$AZ$7,MATCH(N17,'G-7 WaterC'' Data'!$AY$3:$AY$7,0)),"")</f>
        <v>Rivercond1</v>
      </c>
    </row>
    <row r="18" spans="2:48" ht="28.5" x14ac:dyDescent="0.2">
      <c r="B18" s="392">
        <f>'C-1 On-Site WaterC'' Baseline'!AO16</f>
        <v>9</v>
      </c>
      <c r="C18" s="382" t="str">
        <f>IF(B18="","",VLOOKUP($B18,'C-1 On-Site WaterC'' Baseline'!$C$9:$R$257,2,FALSE))</f>
        <v>Ditches</v>
      </c>
      <c r="D18" s="382">
        <f>IF(C18="","",VLOOKUP($B18,'C-1 On-Site WaterC'' Baseline'!$C$9:$R$257,3,FALSE))</f>
        <v>0.21083646108220108</v>
      </c>
      <c r="E18" s="382" t="str">
        <f>IF(D18="","",VLOOKUP($B18,'C-1 On-Site WaterC'' Baseline'!$C$9:$R$257,4,FALSE))</f>
        <v>Medium</v>
      </c>
      <c r="F18" s="382">
        <f>IF(E18="","",VLOOKUP($B18,'C-1 On-Site WaterC'' Baseline'!$C$9:$R$257,5,FALSE))</f>
        <v>4</v>
      </c>
      <c r="G18" s="382" t="str">
        <f>IF(F18="","",VLOOKUP($B18,'C-1 On-Site WaterC'' Baseline'!$C$9:$R$257,6,FALSE))</f>
        <v>Poor</v>
      </c>
      <c r="H18" s="382">
        <f>IF(G18="","",VLOOKUP($B18,'C-1 On-Site WaterC'' Baseline'!$C$9:$R$257,7,FALSE))</f>
        <v>1</v>
      </c>
      <c r="I18" s="382" t="str">
        <f>IF(H18="","",VLOOKUP($B18,'C-1 On-Site WaterC'' Baseline'!$C$9:$R$257,8,FALSE))</f>
        <v>Area/compensation not in local strategy/ no local strategy</v>
      </c>
      <c r="J18" s="382" t="str">
        <f>IF(I18="","",VLOOKUP($B18,'C-1 On-Site WaterC'' Baseline'!$C$9:$R$257,9,FALSE))</f>
        <v>Low Strategic Significance</v>
      </c>
      <c r="K18" s="382">
        <f>IF(J18="","",VLOOKUP($B18,'C-1 On-Site WaterC'' Baseline'!$C$9:$R$257,10,FALSE))</f>
        <v>1</v>
      </c>
      <c r="L18" s="382" t="str">
        <f>IF(B18="","",VLOOKUP($B18,'C-1 On-Site WaterC'' Baseline'!$C$9:$R$257,15,FALSE))</f>
        <v>Same habitat required =</v>
      </c>
      <c r="M18" s="386">
        <f>IF(L18="","",VLOOKUP($B18,'C-1 On-Site WaterC'' Baseline'!$C$9:$R$257,16,FALSE))</f>
        <v>0.63250938324660322</v>
      </c>
      <c r="N18" s="320" t="str">
        <f t="shared" si="0"/>
        <v>Ditches</v>
      </c>
      <c r="O18" s="362" t="str">
        <f t="shared" si="2"/>
        <v>Medium - Medium</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Poor - Poor</v>
      </c>
      <c r="Q18" s="425">
        <f>IF(N18="","",VLOOKUP(B18,'C-1 On-Site WaterC'' Baseline'!$C$10:$AB$257,19,FALSE))</f>
        <v>0.21083646108220108</v>
      </c>
      <c r="R18" s="362" t="str">
        <f>IF(N18="","",VLOOKUP(N18,'G-7 WaterC'' Data'!$B$2:$G$8,2,FALSE))</f>
        <v>Medium</v>
      </c>
      <c r="S18" s="363">
        <f>IFERROR(VLOOKUP(R18,'G-7 WaterC'' Data'!$C$4:$D$8,2,FALSE),"")</f>
        <v>4</v>
      </c>
      <c r="T18" s="114" t="s">
        <v>329</v>
      </c>
      <c r="U18" s="363">
        <f>IFERROR(INDEX('G-7 WaterC'' Data'!$H$4:$L$8,MATCH(N18,'G-7 WaterC'' Data'!$B$4:$B$8,0),MATCH(T18,'G-7 WaterC'' Data'!$H$3:$L$3,0)),"")</f>
        <v>1</v>
      </c>
      <c r="V18" s="114" t="s">
        <v>1037</v>
      </c>
      <c r="W18" s="370" t="str">
        <f>IF(V18="","",IF(VLOOKUP(V18,'G-7 WaterC'' Data'!$AK$4:$AM$6,2,FALSE)=0,"Spatial Data Missing ⚠",VLOOKUP(V18,'G-7 WaterC'' Data'!$AK$4:$AM$6,2,FALSE)))</f>
        <v>Low Strategic Significance</v>
      </c>
      <c r="X18" s="363">
        <f>IF(V18="","",IF(VLOOKUP(V18,'G-7 WaterC'' Data'!$AK$4:$AM$6,3,FALSE)=0,"Spatial Data Missing ⚠",VLOOKUP(V18,'G-7 WaterC'' Data'!$AK$4:$AM$6,3,FALSE)))</f>
        <v>1</v>
      </c>
      <c r="Y18" s="362">
        <f>IFERROR(IF(OR(LEFT(P18,5)="Error",LEFT(O18,5)="Error ▲"),"Check Data ⚠",IF(F18&lt;S18,'G-7 WaterC'' Data'!$R$3,INDEX('G-7 WaterC'' Data'!$U$5:$Y$9,MATCH(G18,'G-7 WaterC'' Data'!$T$5:$T$9,0),MATCH(T18,'G-7 WaterC'' Data'!$U$4:$Y$4,0)))),"")</f>
        <v>1</v>
      </c>
      <c r="Z18" s="159">
        <v>0</v>
      </c>
      <c r="AA18" s="159">
        <v>0</v>
      </c>
      <c r="AB18" s="370" t="str">
        <f t="shared" si="3"/>
        <v>Standard time to target condition applied</v>
      </c>
      <c r="AC18" s="383">
        <f t="shared" si="4"/>
        <v>1</v>
      </c>
      <c r="AD18" s="422">
        <f>IFERROR(IF(AC18="Check Data ⚠","Check Data ⚠",VLOOKUP(AC18,'G-4 Temporal multipliers'!$A$4:$C$37,3,FALSE)),"")</f>
        <v>0.96499999999999997</v>
      </c>
      <c r="AE18" s="362" t="str">
        <f>IF(N18="","",VLOOKUP(N18,'G-7 WaterC'' Data'!$B$4:$G$8,5,FALSE))</f>
        <v>Medium</v>
      </c>
      <c r="AF18" s="370" t="str">
        <f t="shared" si="5"/>
        <v>Standard difficulty applied</v>
      </c>
      <c r="AG18" s="401" t="str">
        <f t="shared" si="6"/>
        <v>Medium</v>
      </c>
      <c r="AH18" s="363">
        <f t="shared" si="1"/>
        <v>0.67</v>
      </c>
      <c r="AI18" s="122" t="s">
        <v>1126</v>
      </c>
      <c r="AJ18" s="363">
        <f>IF(AI18="","",IF(VLOOKUP(AI18,'G-7 WaterC'' Data'!$AA$4:$AB$7,2,FALSE)=0,"Spatial Data Missing ⚠",VLOOKUP(AI18,'G-7 WaterC'' Data'!$AA$4:$AB$7,2,FALSE)))</f>
        <v>1</v>
      </c>
      <c r="AK18" s="123" t="s">
        <v>1142</v>
      </c>
      <c r="AL18" s="363">
        <f>IF(AK18="","",IF(VLOOKUP(AK18,'G-7 WaterC'' Data'!$AD$4:$AE$14,2,FALSE)=0,"Spatial Data Missing ⚠",VLOOKUP(AK18,'G-7 WaterC'' Data'!$AD$4:$AE$14,2,FALSE)))</f>
        <v>0.87</v>
      </c>
      <c r="AM18" s="405">
        <f t="shared" si="7"/>
        <v>0.73371088456605971</v>
      </c>
      <c r="AN18" s="117"/>
      <c r="AO18" s="118"/>
      <c r="AP18" s="120" t="s">
        <v>2010</v>
      </c>
      <c r="AV18" s="30" t="str">
        <f>IFERROR(INDEX('G-7 WaterC'' Data'!$AZ$3:$AZ$7,MATCH(N18,'G-7 WaterC'' Data'!$AY$3:$AY$7,0)),"")</f>
        <v>Rivercond1</v>
      </c>
    </row>
    <row r="19" spans="2:48" ht="28.5" x14ac:dyDescent="0.2">
      <c r="B19" s="392">
        <f>'C-1 On-Site WaterC'' Baseline'!AO17</f>
        <v>10</v>
      </c>
      <c r="C19" s="382" t="str">
        <f>IF(B19="","",VLOOKUP($B19,'C-1 On-Site WaterC'' Baseline'!$C$9:$R$257,2,FALSE))</f>
        <v>Ditches</v>
      </c>
      <c r="D19" s="382">
        <f>IF(C19="","",VLOOKUP($B19,'C-1 On-Site WaterC'' Baseline'!$C$9:$R$257,3,FALSE))</f>
        <v>0.15290646257089816</v>
      </c>
      <c r="E19" s="382" t="str">
        <f>IF(D19="","",VLOOKUP($B19,'C-1 On-Site WaterC'' Baseline'!$C$9:$R$257,4,FALSE))</f>
        <v>Medium</v>
      </c>
      <c r="F19" s="382">
        <f>IF(E19="","",VLOOKUP($B19,'C-1 On-Site WaterC'' Baseline'!$C$9:$R$257,5,FALSE))</f>
        <v>4</v>
      </c>
      <c r="G19" s="382" t="str">
        <f>IF(F19="","",VLOOKUP($B19,'C-1 On-Site WaterC'' Baseline'!$C$9:$R$257,6,FALSE))</f>
        <v>Poor</v>
      </c>
      <c r="H19" s="382">
        <f>IF(G19="","",VLOOKUP($B19,'C-1 On-Site WaterC'' Baseline'!$C$9:$R$257,7,FALSE))</f>
        <v>1</v>
      </c>
      <c r="I19" s="382" t="str">
        <f>IF(H19="","",VLOOKUP($B19,'C-1 On-Site WaterC'' Baseline'!$C$9:$R$257,8,FALSE))</f>
        <v>Area/compensation not in local strategy/ no local strategy</v>
      </c>
      <c r="J19" s="382" t="str">
        <f>IF(I19="","",VLOOKUP($B19,'C-1 On-Site WaterC'' Baseline'!$C$9:$R$257,9,FALSE))</f>
        <v>Low Strategic Significance</v>
      </c>
      <c r="K19" s="382">
        <f>IF(J19="","",VLOOKUP($B19,'C-1 On-Site WaterC'' Baseline'!$C$9:$R$257,10,FALSE))</f>
        <v>1</v>
      </c>
      <c r="L19" s="382" t="str">
        <f>IF(B19="","",VLOOKUP($B19,'C-1 On-Site WaterC'' Baseline'!$C$9:$R$257,15,FALSE))</f>
        <v>Same habitat required =</v>
      </c>
      <c r="M19" s="386">
        <f>IF(L19="","",VLOOKUP($B19,'C-1 On-Site WaterC'' Baseline'!$C$9:$R$257,16,FALSE))</f>
        <v>0.45871938771269449</v>
      </c>
      <c r="N19" s="320" t="str">
        <f t="shared" si="0"/>
        <v>Ditches</v>
      </c>
      <c r="O19" s="362" t="str">
        <f t="shared" si="2"/>
        <v>Medium - Medium</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Poor - Poor</v>
      </c>
      <c r="Q19" s="425">
        <f>IF(N19="","",VLOOKUP(B19,'C-1 On-Site WaterC'' Baseline'!$C$10:$AB$257,19,FALSE))</f>
        <v>0.15290646257089816</v>
      </c>
      <c r="R19" s="362" t="str">
        <f>IF(N19="","",VLOOKUP(N19,'G-7 WaterC'' Data'!$B$2:$G$8,2,FALSE))</f>
        <v>Medium</v>
      </c>
      <c r="S19" s="363">
        <f>IFERROR(VLOOKUP(R19,'G-7 WaterC'' Data'!$C$4:$D$8,2,FALSE),"")</f>
        <v>4</v>
      </c>
      <c r="T19" s="114" t="s">
        <v>329</v>
      </c>
      <c r="U19" s="363">
        <f>IFERROR(INDEX('G-7 WaterC'' Data'!$H$4:$L$8,MATCH(N19,'G-7 WaterC'' Data'!$B$4:$B$8,0),MATCH(T19,'G-7 WaterC'' Data'!$H$3:$L$3,0)),"")</f>
        <v>1</v>
      </c>
      <c r="V19" s="114" t="s">
        <v>1037</v>
      </c>
      <c r="W19" s="370" t="str">
        <f>IF(V19="","",IF(VLOOKUP(V19,'G-7 WaterC'' Data'!$AK$4:$AM$6,2,FALSE)=0,"Spatial Data Missing ⚠",VLOOKUP(V19,'G-7 WaterC'' Data'!$AK$4:$AM$6,2,FALSE)))</f>
        <v>Low Strategic Significance</v>
      </c>
      <c r="X19" s="363">
        <f>IF(V19="","",IF(VLOOKUP(V19,'G-7 WaterC'' Data'!$AK$4:$AM$6,3,FALSE)=0,"Spatial Data Missing ⚠",VLOOKUP(V19,'G-7 WaterC'' Data'!$AK$4:$AM$6,3,FALSE)))</f>
        <v>1</v>
      </c>
      <c r="Y19" s="362">
        <f>IFERROR(IF(OR(LEFT(P19,5)="Error",LEFT(O19,5)="Error ▲"),"Check Data ⚠",IF(F19&lt;S19,'G-7 WaterC'' Data'!$R$3,INDEX('G-7 WaterC'' Data'!$U$5:$Y$9,MATCH(G19,'G-7 WaterC'' Data'!$T$5:$T$9,0),MATCH(T19,'G-7 WaterC'' Data'!$U$4:$Y$4,0)))),"")</f>
        <v>1</v>
      </c>
      <c r="Z19" s="159">
        <v>0</v>
      </c>
      <c r="AA19" s="159">
        <v>0</v>
      </c>
      <c r="AB19" s="370" t="str">
        <f t="shared" si="3"/>
        <v>Standard time to target condition applied</v>
      </c>
      <c r="AC19" s="383">
        <f t="shared" si="4"/>
        <v>1</v>
      </c>
      <c r="AD19" s="422">
        <f>IFERROR(IF(AC19="Check Data ⚠","Check Data ⚠",VLOOKUP(AC19,'G-4 Temporal multipliers'!$A$4:$C$37,3,FALSE)),"")</f>
        <v>0.96499999999999997</v>
      </c>
      <c r="AE19" s="362" t="str">
        <f>IF(N19="","",VLOOKUP(N19,'G-7 WaterC'' Data'!$B$4:$G$8,5,FALSE))</f>
        <v>Medium</v>
      </c>
      <c r="AF19" s="370" t="str">
        <f t="shared" si="5"/>
        <v>Standard difficulty applied</v>
      </c>
      <c r="AG19" s="401" t="str">
        <f t="shared" si="6"/>
        <v>Medium</v>
      </c>
      <c r="AH19" s="363">
        <f t="shared" si="1"/>
        <v>0.67</v>
      </c>
      <c r="AI19" s="122" t="s">
        <v>1126</v>
      </c>
      <c r="AJ19" s="363">
        <f>IF(AI19="","",IF(VLOOKUP(AI19,'G-7 WaterC'' Data'!$AA$4:$AB$7,2,FALSE)=0,"Spatial Data Missing ⚠",VLOOKUP(AI19,'G-7 WaterC'' Data'!$AA$4:$AB$7,2,FALSE)))</f>
        <v>1</v>
      </c>
      <c r="AK19" s="123" t="s">
        <v>1153</v>
      </c>
      <c r="AL19" s="363">
        <f>IF(AK19="","",IF(VLOOKUP(AK19,'G-7 WaterC'' Data'!$AD$4:$AE$14,2,FALSE)=0,"Spatial Data Missing ⚠",VLOOKUP(AK19,'G-7 WaterC'' Data'!$AD$4:$AE$14,2,FALSE)))</f>
        <v>1</v>
      </c>
      <c r="AM19" s="405">
        <f t="shared" si="7"/>
        <v>0.61162585028359262</v>
      </c>
      <c r="AN19" s="117"/>
      <c r="AO19" s="118"/>
      <c r="AP19" s="120" t="s">
        <v>2011</v>
      </c>
      <c r="AV19" s="30" t="str">
        <f>IFERROR(INDEX('G-7 WaterC'' Data'!$AZ$3:$AZ$7,MATCH(N19,'G-7 WaterC'' Data'!$AY$3:$AY$7,0)),"")</f>
        <v>Rivercond1</v>
      </c>
    </row>
    <row r="20" spans="2:48" ht="28.5" x14ac:dyDescent="0.2">
      <c r="B20" s="392">
        <f>'C-1 On-Site WaterC'' Baseline'!AO18</f>
        <v>11</v>
      </c>
      <c r="C20" s="382" t="str">
        <f>IF(B20="","",VLOOKUP($B20,'C-1 On-Site WaterC'' Baseline'!$C$9:$R$257,2,FALSE))</f>
        <v>Ditches</v>
      </c>
      <c r="D20" s="382">
        <f>IF(C20="","",VLOOKUP($B20,'C-1 On-Site WaterC'' Baseline'!$C$9:$R$257,3,FALSE))</f>
        <v>0.65667434274674819</v>
      </c>
      <c r="E20" s="382" t="str">
        <f>IF(D20="","",VLOOKUP($B20,'C-1 On-Site WaterC'' Baseline'!$C$9:$R$257,4,FALSE))</f>
        <v>Medium</v>
      </c>
      <c r="F20" s="382">
        <f>IF(E20="","",VLOOKUP($B20,'C-1 On-Site WaterC'' Baseline'!$C$9:$R$257,5,FALSE))</f>
        <v>4</v>
      </c>
      <c r="G20" s="382" t="str">
        <f>IF(F20="","",VLOOKUP($B20,'C-1 On-Site WaterC'' Baseline'!$C$9:$R$257,6,FALSE))</f>
        <v>Poor</v>
      </c>
      <c r="H20" s="382">
        <f>IF(G20="","",VLOOKUP($B20,'C-1 On-Site WaterC'' Baseline'!$C$9:$R$257,7,FALSE))</f>
        <v>1</v>
      </c>
      <c r="I20" s="382" t="str">
        <f>IF(H20="","",VLOOKUP($B20,'C-1 On-Site WaterC'' Baseline'!$C$9:$R$257,8,FALSE))</f>
        <v>Area/compensation not in local strategy/ no local strategy</v>
      </c>
      <c r="J20" s="382" t="str">
        <f>IF(I20="","",VLOOKUP($B20,'C-1 On-Site WaterC'' Baseline'!$C$9:$R$257,9,FALSE))</f>
        <v>Low Strategic Significance</v>
      </c>
      <c r="K20" s="382">
        <f>IF(J20="","",VLOOKUP($B20,'C-1 On-Site WaterC'' Baseline'!$C$9:$R$257,10,FALSE))</f>
        <v>1</v>
      </c>
      <c r="L20" s="382" t="str">
        <f>IF(B20="","",VLOOKUP($B20,'C-1 On-Site WaterC'' Baseline'!$C$9:$R$257,15,FALSE))</f>
        <v>Same habitat required =</v>
      </c>
      <c r="M20" s="386">
        <f>IF(L20="","",VLOOKUP($B20,'C-1 On-Site WaterC'' Baseline'!$C$9:$R$257,16,FALSE))</f>
        <v>1.9700230282402447</v>
      </c>
      <c r="N20" s="320" t="str">
        <f t="shared" si="0"/>
        <v>Ditches</v>
      </c>
      <c r="O20" s="362" t="str">
        <f t="shared" si="2"/>
        <v>Medium - Medium</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Poor - Poor</v>
      </c>
      <c r="Q20" s="425">
        <f>IF(N20="","",VLOOKUP(B20,'C-1 On-Site WaterC'' Baseline'!$C$10:$AB$257,19,FALSE))</f>
        <v>0.65667434274674819</v>
      </c>
      <c r="R20" s="362" t="str">
        <f>IF(N20="","",VLOOKUP(N20,'G-7 WaterC'' Data'!$B$2:$G$8,2,FALSE))</f>
        <v>Medium</v>
      </c>
      <c r="S20" s="363">
        <f>IFERROR(VLOOKUP(R20,'G-7 WaterC'' Data'!$C$4:$D$8,2,FALSE),"")</f>
        <v>4</v>
      </c>
      <c r="T20" s="114" t="s">
        <v>329</v>
      </c>
      <c r="U20" s="363">
        <f>IFERROR(INDEX('G-7 WaterC'' Data'!$H$4:$L$8,MATCH(N20,'G-7 WaterC'' Data'!$B$4:$B$8,0),MATCH(T20,'G-7 WaterC'' Data'!$H$3:$L$3,0)),"")</f>
        <v>1</v>
      </c>
      <c r="V20" s="114" t="s">
        <v>1037</v>
      </c>
      <c r="W20" s="370" t="str">
        <f>IF(V20="","",IF(VLOOKUP(V20,'G-7 WaterC'' Data'!$AK$4:$AM$6,2,FALSE)=0,"Spatial Data Missing ⚠",VLOOKUP(V20,'G-7 WaterC'' Data'!$AK$4:$AM$6,2,FALSE)))</f>
        <v>Low Strategic Significance</v>
      </c>
      <c r="X20" s="363">
        <f>IF(V20="","",IF(VLOOKUP(V20,'G-7 WaterC'' Data'!$AK$4:$AM$6,3,FALSE)=0,"Spatial Data Missing ⚠",VLOOKUP(V20,'G-7 WaterC'' Data'!$AK$4:$AM$6,3,FALSE)))</f>
        <v>1</v>
      </c>
      <c r="Y20" s="362">
        <f>IFERROR(IF(OR(LEFT(P20,5)="Error",LEFT(O20,5)="Error ▲"),"Check Data ⚠",IF(F20&lt;S20,'G-7 WaterC'' Data'!$R$3,INDEX('G-7 WaterC'' Data'!$U$5:$Y$9,MATCH(G20,'G-7 WaterC'' Data'!$T$5:$T$9,0),MATCH(T20,'G-7 WaterC'' Data'!$U$4:$Y$4,0)))),"")</f>
        <v>1</v>
      </c>
      <c r="Z20" s="159">
        <v>0</v>
      </c>
      <c r="AA20" s="159">
        <v>0</v>
      </c>
      <c r="AB20" s="370" t="str">
        <f t="shared" si="3"/>
        <v>Standard time to target condition applied</v>
      </c>
      <c r="AC20" s="383">
        <f t="shared" si="4"/>
        <v>1</v>
      </c>
      <c r="AD20" s="422">
        <f>IFERROR(IF(AC20="Check Data ⚠","Check Data ⚠",VLOOKUP(AC20,'G-4 Temporal multipliers'!$A$4:$C$37,3,FALSE)),"")</f>
        <v>0.96499999999999997</v>
      </c>
      <c r="AE20" s="362" t="str">
        <f>IF(N20="","",VLOOKUP(N20,'G-7 WaterC'' Data'!$B$4:$G$8,5,FALSE))</f>
        <v>Medium</v>
      </c>
      <c r="AF20" s="370" t="str">
        <f t="shared" si="5"/>
        <v>Standard difficulty applied</v>
      </c>
      <c r="AG20" s="401" t="str">
        <f t="shared" si="6"/>
        <v>Medium</v>
      </c>
      <c r="AH20" s="363">
        <f t="shared" si="1"/>
        <v>0.67</v>
      </c>
      <c r="AI20" s="122" t="s">
        <v>1126</v>
      </c>
      <c r="AJ20" s="363">
        <f>IF(AI20="","",IF(VLOOKUP(AI20,'G-7 WaterC'' Data'!$AA$4:$AB$7,2,FALSE)=0,"Spatial Data Missing ⚠",VLOOKUP(AI20,'G-7 WaterC'' Data'!$AA$4:$AB$7,2,FALSE)))</f>
        <v>1</v>
      </c>
      <c r="AK20" s="123" t="s">
        <v>1153</v>
      </c>
      <c r="AL20" s="363">
        <f>IF(AK20="","",IF(VLOOKUP(AK20,'G-7 WaterC'' Data'!$AD$4:$AE$14,2,FALSE)=0,"Spatial Data Missing ⚠",VLOOKUP(AK20,'G-7 WaterC'' Data'!$AD$4:$AE$14,2,FALSE)))</f>
        <v>1</v>
      </c>
      <c r="AM20" s="405">
        <f t="shared" si="7"/>
        <v>2.6266973709869927</v>
      </c>
      <c r="AN20" s="117"/>
      <c r="AO20" s="118"/>
      <c r="AP20" s="120" t="s">
        <v>2012</v>
      </c>
      <c r="AV20" s="30" t="str">
        <f>IFERROR(INDEX('G-7 WaterC'' Data'!$AZ$3:$AZ$7,MATCH(N20,'G-7 WaterC'' Data'!$AY$3:$AY$7,0)),"")</f>
        <v>Rivercond1</v>
      </c>
    </row>
    <row r="21" spans="2:48" ht="28.5" x14ac:dyDescent="0.2">
      <c r="B21" s="392">
        <f>'C-1 On-Site WaterC'' Baseline'!AO19</f>
        <v>12</v>
      </c>
      <c r="C21" s="382" t="str">
        <f>IF(B21="","",VLOOKUP($B21,'C-1 On-Site WaterC'' Baseline'!$C$9:$R$257,2,FALSE))</f>
        <v>Ditches</v>
      </c>
      <c r="D21" s="382">
        <f>IF(C21="","",VLOOKUP($B21,'C-1 On-Site WaterC'' Baseline'!$C$9:$R$257,3,FALSE))</f>
        <v>0.84359155871641101</v>
      </c>
      <c r="E21" s="382" t="str">
        <f>IF(D21="","",VLOOKUP($B21,'C-1 On-Site WaterC'' Baseline'!$C$9:$R$257,4,FALSE))</f>
        <v>Medium</v>
      </c>
      <c r="F21" s="382">
        <f>IF(E21="","",VLOOKUP($B21,'C-1 On-Site WaterC'' Baseline'!$C$9:$R$257,5,FALSE))</f>
        <v>4</v>
      </c>
      <c r="G21" s="382" t="str">
        <f>IF(F21="","",VLOOKUP($B21,'C-1 On-Site WaterC'' Baseline'!$C$9:$R$257,6,FALSE))</f>
        <v>Poor</v>
      </c>
      <c r="H21" s="382">
        <f>IF(G21="","",VLOOKUP($B21,'C-1 On-Site WaterC'' Baseline'!$C$9:$R$257,7,FALSE))</f>
        <v>1</v>
      </c>
      <c r="I21" s="382" t="str">
        <f>IF(H21="","",VLOOKUP($B21,'C-1 On-Site WaterC'' Baseline'!$C$9:$R$257,8,FALSE))</f>
        <v>Area/compensation not in local strategy/ no local strategy</v>
      </c>
      <c r="J21" s="382" t="str">
        <f>IF(I21="","",VLOOKUP($B21,'C-1 On-Site WaterC'' Baseline'!$C$9:$R$257,9,FALSE))</f>
        <v>Low Strategic Significance</v>
      </c>
      <c r="K21" s="382">
        <f>IF(J21="","",VLOOKUP($B21,'C-1 On-Site WaterC'' Baseline'!$C$9:$R$257,10,FALSE))</f>
        <v>1</v>
      </c>
      <c r="L21" s="382" t="str">
        <f>IF(B21="","",VLOOKUP($B21,'C-1 On-Site WaterC'' Baseline'!$C$9:$R$257,15,FALSE))</f>
        <v>Same habitat required =</v>
      </c>
      <c r="M21" s="386">
        <f>IF(L21="","",VLOOKUP($B21,'C-1 On-Site WaterC'' Baseline'!$C$9:$R$257,16,FALSE))</f>
        <v>2.5307746761492331</v>
      </c>
      <c r="N21" s="320" t="str">
        <f t="shared" si="0"/>
        <v>Ditches</v>
      </c>
      <c r="O21" s="362" t="str">
        <f t="shared" si="2"/>
        <v>Medium - Medium</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Poor - Poor</v>
      </c>
      <c r="Q21" s="425">
        <f>IF(N21="","",VLOOKUP(B21,'C-1 On-Site WaterC'' Baseline'!$C$10:$AB$257,19,FALSE))</f>
        <v>0.84359155871641101</v>
      </c>
      <c r="R21" s="362" t="str">
        <f>IF(N21="","",VLOOKUP(N21,'G-7 WaterC'' Data'!$B$2:$G$8,2,FALSE))</f>
        <v>Medium</v>
      </c>
      <c r="S21" s="363">
        <f>IFERROR(VLOOKUP(R21,'G-7 WaterC'' Data'!$C$4:$D$8,2,FALSE),"")</f>
        <v>4</v>
      </c>
      <c r="T21" s="114" t="s">
        <v>329</v>
      </c>
      <c r="U21" s="363">
        <f>IFERROR(INDEX('G-7 WaterC'' Data'!$H$4:$L$8,MATCH(N21,'G-7 WaterC'' Data'!$B$4:$B$8,0),MATCH(T21,'G-7 WaterC'' Data'!$H$3:$L$3,0)),"")</f>
        <v>1</v>
      </c>
      <c r="V21" s="114" t="s">
        <v>1037</v>
      </c>
      <c r="W21" s="370" t="str">
        <f>IF(V21="","",IF(VLOOKUP(V21,'G-7 WaterC'' Data'!$AK$4:$AM$6,2,FALSE)=0,"Spatial Data Missing ⚠",VLOOKUP(V21,'G-7 WaterC'' Data'!$AK$4:$AM$6,2,FALSE)))</f>
        <v>Low Strategic Significance</v>
      </c>
      <c r="X21" s="363">
        <f>IF(V21="","",IF(VLOOKUP(V21,'G-7 WaterC'' Data'!$AK$4:$AM$6,3,FALSE)=0,"Spatial Data Missing ⚠",VLOOKUP(V21,'G-7 WaterC'' Data'!$AK$4:$AM$6,3,FALSE)))</f>
        <v>1</v>
      </c>
      <c r="Y21" s="362">
        <f>IFERROR(IF(OR(LEFT(P21,5)="Error",LEFT(O21,5)="Error ▲"),"Check Data ⚠",IF(F21&lt;S21,'G-7 WaterC'' Data'!$R$3,INDEX('G-7 WaterC'' Data'!$U$5:$Y$9,MATCH(G21,'G-7 WaterC'' Data'!$T$5:$T$9,0),MATCH(T21,'G-7 WaterC'' Data'!$U$4:$Y$4,0)))),"")</f>
        <v>1</v>
      </c>
      <c r="Z21" s="159">
        <v>0</v>
      </c>
      <c r="AA21" s="159">
        <v>0</v>
      </c>
      <c r="AB21" s="370" t="str">
        <f t="shared" si="3"/>
        <v>Standard time to target condition applied</v>
      </c>
      <c r="AC21" s="383">
        <f t="shared" si="4"/>
        <v>1</v>
      </c>
      <c r="AD21" s="422">
        <f>IFERROR(IF(AC21="Check Data ⚠","Check Data ⚠",VLOOKUP(AC21,'G-4 Temporal multipliers'!$A$4:$C$37,3,FALSE)),"")</f>
        <v>0.96499999999999997</v>
      </c>
      <c r="AE21" s="362" t="str">
        <f>IF(N21="","",VLOOKUP(N21,'G-7 WaterC'' Data'!$B$4:$G$8,5,FALSE))</f>
        <v>Medium</v>
      </c>
      <c r="AF21" s="370" t="str">
        <f t="shared" si="5"/>
        <v>Standard difficulty applied</v>
      </c>
      <c r="AG21" s="401" t="str">
        <f t="shared" si="6"/>
        <v>Medium</v>
      </c>
      <c r="AH21" s="363">
        <f t="shared" si="1"/>
        <v>0.67</v>
      </c>
      <c r="AI21" s="122" t="s">
        <v>1126</v>
      </c>
      <c r="AJ21" s="363">
        <f>IF(AI21="","",IF(VLOOKUP(AI21,'G-7 WaterC'' Data'!$AA$4:$AB$7,2,FALSE)=0,"Spatial Data Missing ⚠",VLOOKUP(AI21,'G-7 WaterC'' Data'!$AA$4:$AB$7,2,FALSE)))</f>
        <v>1</v>
      </c>
      <c r="AK21" s="123" t="s">
        <v>1142</v>
      </c>
      <c r="AL21" s="363">
        <f>IF(AK21="","",IF(VLOOKUP(AK21,'G-7 WaterC'' Data'!$AD$4:$AE$14,2,FALSE)=0,"Spatial Data Missing ⚠",VLOOKUP(AK21,'G-7 WaterC'' Data'!$AD$4:$AE$14,2,FALSE)))</f>
        <v>0.87</v>
      </c>
      <c r="AM21" s="405">
        <f t="shared" si="7"/>
        <v>2.9356986243331105</v>
      </c>
      <c r="AN21" s="117"/>
      <c r="AO21" s="118"/>
      <c r="AP21" s="120" t="s">
        <v>2013</v>
      </c>
      <c r="AV21" s="30" t="str">
        <f>IFERROR(INDEX('G-7 WaterC'' Data'!$AZ$3:$AZ$7,MATCH(N21,'G-7 WaterC'' Data'!$AY$3:$AY$7,0)),"")</f>
        <v>Rivercond1</v>
      </c>
    </row>
    <row r="22" spans="2:48" ht="28.5" x14ac:dyDescent="0.2">
      <c r="B22" s="392">
        <f>'C-1 On-Site WaterC'' Baseline'!AO20</f>
        <v>13</v>
      </c>
      <c r="C22" s="382" t="str">
        <f>IF(B22="","",VLOOKUP($B22,'C-1 On-Site WaterC'' Baseline'!$C$9:$R$257,2,FALSE))</f>
        <v>Ditches</v>
      </c>
      <c r="D22" s="382">
        <f>IF(C22="","",VLOOKUP($B22,'C-1 On-Site WaterC'' Baseline'!$C$9:$R$257,3,FALSE))</f>
        <v>0.2954756237785624</v>
      </c>
      <c r="E22" s="382" t="str">
        <f>IF(D22="","",VLOOKUP($B22,'C-1 On-Site WaterC'' Baseline'!$C$9:$R$257,4,FALSE))</f>
        <v>Medium</v>
      </c>
      <c r="F22" s="382">
        <f>IF(E22="","",VLOOKUP($B22,'C-1 On-Site WaterC'' Baseline'!$C$9:$R$257,5,FALSE))</f>
        <v>4</v>
      </c>
      <c r="G22" s="382" t="str">
        <f>IF(F22="","",VLOOKUP($B22,'C-1 On-Site WaterC'' Baseline'!$C$9:$R$257,6,FALSE))</f>
        <v>Poor</v>
      </c>
      <c r="H22" s="382">
        <f>IF(G22="","",VLOOKUP($B22,'C-1 On-Site WaterC'' Baseline'!$C$9:$R$257,7,FALSE))</f>
        <v>1</v>
      </c>
      <c r="I22" s="382" t="str">
        <f>IF(H22="","",VLOOKUP($B22,'C-1 On-Site WaterC'' Baseline'!$C$9:$R$257,8,FALSE))</f>
        <v>Formally identified in local strategy</v>
      </c>
      <c r="J22" s="382" t="str">
        <f>IF(I22="","",VLOOKUP($B22,'C-1 On-Site WaterC'' Baseline'!$C$9:$R$257,9,FALSE))</f>
        <v xml:space="preserve">High strategic significance </v>
      </c>
      <c r="K22" s="382">
        <f>IF(J22="","",VLOOKUP($B22,'C-1 On-Site WaterC'' Baseline'!$C$9:$R$257,10,FALSE))</f>
        <v>1.1499999999999999</v>
      </c>
      <c r="L22" s="382" t="str">
        <f>IF(B22="","",VLOOKUP($B22,'C-1 On-Site WaterC'' Baseline'!$C$9:$R$257,15,FALSE))</f>
        <v>Same habitat required =</v>
      </c>
      <c r="M22" s="386">
        <f>IF(L22="","",VLOOKUP($B22,'C-1 On-Site WaterC'' Baseline'!$C$9:$R$257,16,FALSE))</f>
        <v>1.0193909020360403</v>
      </c>
      <c r="N22" s="320" t="str">
        <f t="shared" si="0"/>
        <v>Ditches</v>
      </c>
      <c r="O22" s="362" t="str">
        <f t="shared" si="2"/>
        <v>Medium - Medium</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Poor - Poor</v>
      </c>
      <c r="Q22" s="425">
        <f>IF(N22="","",VLOOKUP(B22,'C-1 On-Site WaterC'' Baseline'!$C$10:$AB$257,19,FALSE))</f>
        <v>0.2954756237785624</v>
      </c>
      <c r="R22" s="362" t="str">
        <f>IF(N22="","",VLOOKUP(N22,'G-7 WaterC'' Data'!$B$2:$G$8,2,FALSE))</f>
        <v>Medium</v>
      </c>
      <c r="S22" s="363">
        <f>IFERROR(VLOOKUP(R22,'G-7 WaterC'' Data'!$C$4:$D$8,2,FALSE),"")</f>
        <v>4</v>
      </c>
      <c r="T22" s="114" t="s">
        <v>329</v>
      </c>
      <c r="U22" s="363">
        <f>IFERROR(INDEX('G-7 WaterC'' Data'!$H$4:$L$8,MATCH(N22,'G-7 WaterC'' Data'!$B$4:$B$8,0),MATCH(T22,'G-7 WaterC'' Data'!$H$3:$L$3,0)),"")</f>
        <v>1</v>
      </c>
      <c r="V22" s="114" t="s">
        <v>1029</v>
      </c>
      <c r="W22" s="370" t="str">
        <f>IF(V22="","",IF(VLOOKUP(V22,'G-7 WaterC'' Data'!$AK$4:$AM$6,2,FALSE)=0,"Spatial Data Missing ⚠",VLOOKUP(V22,'G-7 WaterC'' Data'!$AK$4:$AM$6,2,FALSE)))</f>
        <v xml:space="preserve">High strategic significance </v>
      </c>
      <c r="X22" s="363">
        <f>IF(V22="","",IF(VLOOKUP(V22,'G-7 WaterC'' Data'!$AK$4:$AM$6,3,FALSE)=0,"Spatial Data Missing ⚠",VLOOKUP(V22,'G-7 WaterC'' Data'!$AK$4:$AM$6,3,FALSE)))</f>
        <v>1.1499999999999999</v>
      </c>
      <c r="Y22" s="362">
        <f>IFERROR(IF(OR(LEFT(P22,5)="Error",LEFT(O22,5)="Error ▲"),"Check Data ⚠",IF(F22&lt;S22,'G-7 WaterC'' Data'!$R$3,INDEX('G-7 WaterC'' Data'!$U$5:$Y$9,MATCH(G22,'G-7 WaterC'' Data'!$T$5:$T$9,0),MATCH(T22,'G-7 WaterC'' Data'!$U$4:$Y$4,0)))),"")</f>
        <v>1</v>
      </c>
      <c r="Z22" s="159">
        <v>0</v>
      </c>
      <c r="AA22" s="159">
        <v>0</v>
      </c>
      <c r="AB22" s="370" t="str">
        <f t="shared" si="3"/>
        <v>Standard time to target condition applied</v>
      </c>
      <c r="AC22" s="383">
        <f t="shared" si="4"/>
        <v>1</v>
      </c>
      <c r="AD22" s="422">
        <f>IFERROR(IF(AC22="Check Data ⚠","Check Data ⚠",VLOOKUP(AC22,'G-4 Temporal multipliers'!$A$4:$C$37,3,FALSE)),"")</f>
        <v>0.96499999999999997</v>
      </c>
      <c r="AE22" s="362" t="str">
        <f>IF(N22="","",VLOOKUP(N22,'G-7 WaterC'' Data'!$B$4:$G$8,5,FALSE))</f>
        <v>Medium</v>
      </c>
      <c r="AF22" s="370" t="str">
        <f t="shared" si="5"/>
        <v>Standard difficulty applied</v>
      </c>
      <c r="AG22" s="401" t="str">
        <f t="shared" si="6"/>
        <v>Medium</v>
      </c>
      <c r="AH22" s="363">
        <f t="shared" si="1"/>
        <v>0.67</v>
      </c>
      <c r="AI22" s="122" t="s">
        <v>1126</v>
      </c>
      <c r="AJ22" s="363">
        <f>IF(AI22="","",IF(VLOOKUP(AI22,'G-7 WaterC'' Data'!$AA$4:$AB$7,2,FALSE)=0,"Spatial Data Missing ⚠",VLOOKUP(AI22,'G-7 WaterC'' Data'!$AA$4:$AB$7,2,FALSE)))</f>
        <v>1</v>
      </c>
      <c r="AK22" s="123" t="s">
        <v>1142</v>
      </c>
      <c r="AL22" s="363">
        <f>IF(AK22="","",IF(VLOOKUP(AK22,'G-7 WaterC'' Data'!$AD$4:$AE$14,2,FALSE)=0,"Spatial Data Missing ⚠",VLOOKUP(AK22,'G-7 WaterC'' Data'!$AD$4:$AE$14,2,FALSE)))</f>
        <v>0.87</v>
      </c>
      <c r="AM22" s="405">
        <f t="shared" si="7"/>
        <v>1.1824934463618066</v>
      </c>
      <c r="AN22" s="117"/>
      <c r="AO22" s="118"/>
      <c r="AP22" s="120" t="s">
        <v>2014</v>
      </c>
      <c r="AV22" s="30" t="str">
        <f>IFERROR(INDEX('G-7 WaterC'' Data'!$AZ$3:$AZ$7,MATCH(N22,'G-7 WaterC'' Data'!$AY$3:$AY$7,0)),"")</f>
        <v>Rivercond1</v>
      </c>
    </row>
    <row r="23" spans="2:48" ht="28.5" x14ac:dyDescent="0.2">
      <c r="B23" s="392">
        <f>'C-1 On-Site WaterC'' Baseline'!AO21</f>
        <v>14</v>
      </c>
      <c r="C23" s="382" t="str">
        <f>IF(B23="","",VLOOKUP($B23,'C-1 On-Site WaterC'' Baseline'!$C$9:$R$257,2,FALSE))</f>
        <v>Ditches</v>
      </c>
      <c r="D23" s="382">
        <f>IF(C23="","",VLOOKUP($B23,'C-1 On-Site WaterC'' Baseline'!$C$9:$R$257,3,FALSE))</f>
        <v>8.8547767816046674E-2</v>
      </c>
      <c r="E23" s="382" t="str">
        <f>IF(D23="","",VLOOKUP($B23,'C-1 On-Site WaterC'' Baseline'!$C$9:$R$257,4,FALSE))</f>
        <v>Medium</v>
      </c>
      <c r="F23" s="382">
        <f>IF(E23="","",VLOOKUP($B23,'C-1 On-Site WaterC'' Baseline'!$C$9:$R$257,5,FALSE))</f>
        <v>4</v>
      </c>
      <c r="G23" s="382" t="str">
        <f>IF(F23="","",VLOOKUP($B23,'C-1 On-Site WaterC'' Baseline'!$C$9:$R$257,6,FALSE))</f>
        <v>Poor</v>
      </c>
      <c r="H23" s="382">
        <f>IF(G23="","",VLOOKUP($B23,'C-1 On-Site WaterC'' Baseline'!$C$9:$R$257,7,FALSE))</f>
        <v>1</v>
      </c>
      <c r="I23" s="382" t="str">
        <f>IF(H23="","",VLOOKUP($B23,'C-1 On-Site WaterC'' Baseline'!$C$9:$R$257,8,FALSE))</f>
        <v>Area/compensation not in local strategy/ no local strategy</v>
      </c>
      <c r="J23" s="382" t="str">
        <f>IF(I23="","",VLOOKUP($B23,'C-1 On-Site WaterC'' Baseline'!$C$9:$R$257,9,FALSE))</f>
        <v>Low Strategic Significance</v>
      </c>
      <c r="K23" s="382">
        <f>IF(J23="","",VLOOKUP($B23,'C-1 On-Site WaterC'' Baseline'!$C$9:$R$257,10,FALSE))</f>
        <v>1</v>
      </c>
      <c r="L23" s="382" t="str">
        <f>IF(B23="","",VLOOKUP($B23,'C-1 On-Site WaterC'' Baseline'!$C$9:$R$257,15,FALSE))</f>
        <v>Same habitat required =</v>
      </c>
      <c r="M23" s="386">
        <f>IF(L23="","",VLOOKUP($B23,'C-1 On-Site WaterC'' Baseline'!$C$9:$R$257,16,FALSE))</f>
        <v>0.26564330344814002</v>
      </c>
      <c r="N23" s="320" t="str">
        <f t="shared" si="0"/>
        <v>Ditches</v>
      </c>
      <c r="O23" s="362" t="str">
        <f t="shared" si="2"/>
        <v>Medium - Medium</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Poor - Poor</v>
      </c>
      <c r="Q23" s="425">
        <f>IF(N23="","",VLOOKUP(B23,'C-1 On-Site WaterC'' Baseline'!$C$10:$AB$257,19,FALSE))</f>
        <v>8.8547767816046674E-2</v>
      </c>
      <c r="R23" s="362" t="str">
        <f>IF(N23="","",VLOOKUP(N23,'G-7 WaterC'' Data'!$B$2:$G$8,2,FALSE))</f>
        <v>Medium</v>
      </c>
      <c r="S23" s="363">
        <f>IFERROR(VLOOKUP(R23,'G-7 WaterC'' Data'!$C$4:$D$8,2,FALSE),"")</f>
        <v>4</v>
      </c>
      <c r="T23" s="114" t="s">
        <v>329</v>
      </c>
      <c r="U23" s="363">
        <f>IFERROR(INDEX('G-7 WaterC'' Data'!$H$4:$L$8,MATCH(N23,'G-7 WaterC'' Data'!$B$4:$B$8,0),MATCH(T23,'G-7 WaterC'' Data'!$H$3:$L$3,0)),"")</f>
        <v>1</v>
      </c>
      <c r="V23" s="114" t="s">
        <v>1037</v>
      </c>
      <c r="W23" s="370" t="str">
        <f>IF(V23="","",IF(VLOOKUP(V23,'G-7 WaterC'' Data'!$AK$4:$AM$6,2,FALSE)=0,"Spatial Data Missing ⚠",VLOOKUP(V23,'G-7 WaterC'' Data'!$AK$4:$AM$6,2,FALSE)))</f>
        <v>Low Strategic Significance</v>
      </c>
      <c r="X23" s="363">
        <f>IF(V23="","",IF(VLOOKUP(V23,'G-7 WaterC'' Data'!$AK$4:$AM$6,3,FALSE)=0,"Spatial Data Missing ⚠",VLOOKUP(V23,'G-7 WaterC'' Data'!$AK$4:$AM$6,3,FALSE)))</f>
        <v>1</v>
      </c>
      <c r="Y23" s="362">
        <f>IFERROR(IF(OR(LEFT(P23,5)="Error",LEFT(O23,5)="Error ▲"),"Check Data ⚠",IF(F23&lt;S23,'G-7 WaterC'' Data'!$R$3,INDEX('G-7 WaterC'' Data'!$U$5:$Y$9,MATCH(G23,'G-7 WaterC'' Data'!$T$5:$T$9,0),MATCH(T23,'G-7 WaterC'' Data'!$U$4:$Y$4,0)))),"")</f>
        <v>1</v>
      </c>
      <c r="Z23" s="159">
        <v>0</v>
      </c>
      <c r="AA23" s="159">
        <v>0</v>
      </c>
      <c r="AB23" s="370" t="str">
        <f t="shared" si="3"/>
        <v>Standard time to target condition applied</v>
      </c>
      <c r="AC23" s="383">
        <f t="shared" si="4"/>
        <v>1</v>
      </c>
      <c r="AD23" s="422">
        <f>IFERROR(IF(AC23="Check Data ⚠","Check Data ⚠",VLOOKUP(AC23,'G-4 Temporal multipliers'!$A$4:$C$37,3,FALSE)),"")</f>
        <v>0.96499999999999997</v>
      </c>
      <c r="AE23" s="362" t="str">
        <f>IF(N23="","",VLOOKUP(N23,'G-7 WaterC'' Data'!$B$4:$G$8,5,FALSE))</f>
        <v>Medium</v>
      </c>
      <c r="AF23" s="370" t="str">
        <f t="shared" si="5"/>
        <v>Standard difficulty applied</v>
      </c>
      <c r="AG23" s="401" t="str">
        <f t="shared" si="6"/>
        <v>Medium</v>
      </c>
      <c r="AH23" s="363">
        <f t="shared" si="1"/>
        <v>0.67</v>
      </c>
      <c r="AI23" s="122" t="s">
        <v>1126</v>
      </c>
      <c r="AJ23" s="363">
        <f>IF(AI23="","",IF(VLOOKUP(AI23,'G-7 WaterC'' Data'!$AA$4:$AB$7,2,FALSE)=0,"Spatial Data Missing ⚠",VLOOKUP(AI23,'G-7 WaterC'' Data'!$AA$4:$AB$7,2,FALSE)))</f>
        <v>1</v>
      </c>
      <c r="AK23" s="123" t="s">
        <v>1153</v>
      </c>
      <c r="AL23" s="363">
        <f>IF(AK23="","",IF(VLOOKUP(AK23,'G-7 WaterC'' Data'!$AD$4:$AE$14,2,FALSE)=0,"Spatial Data Missing ⚠",VLOOKUP(AK23,'G-7 WaterC'' Data'!$AD$4:$AE$14,2,FALSE)))</f>
        <v>1</v>
      </c>
      <c r="AM23" s="405">
        <f t="shared" si="7"/>
        <v>0.3541910712641867</v>
      </c>
      <c r="AN23" s="117"/>
      <c r="AO23" s="118"/>
      <c r="AP23" s="120" t="s">
        <v>2015</v>
      </c>
      <c r="AV23" s="30" t="str">
        <f>IFERROR(INDEX('G-7 WaterC'' Data'!$AZ$3:$AZ$7,MATCH(N23,'G-7 WaterC'' Data'!$AY$3:$AY$7,0)),"")</f>
        <v>Rivercond1</v>
      </c>
    </row>
    <row r="24" spans="2:48" ht="28.5" x14ac:dyDescent="0.2">
      <c r="B24" s="392">
        <f>'C-1 On-Site WaterC'' Baseline'!AO22</f>
        <v>15</v>
      </c>
      <c r="C24" s="382" t="str">
        <f>IF(B24="","",VLOOKUP($B24,'C-1 On-Site WaterC'' Baseline'!$C$9:$R$257,2,FALSE))</f>
        <v>Ditches</v>
      </c>
      <c r="D24" s="382">
        <f>IF(C24="","",VLOOKUP($B24,'C-1 On-Site WaterC'' Baseline'!$C$9:$R$257,3,FALSE))</f>
        <v>1.1481640115863465</v>
      </c>
      <c r="E24" s="382" t="str">
        <f>IF(D24="","",VLOOKUP($B24,'C-1 On-Site WaterC'' Baseline'!$C$9:$R$257,4,FALSE))</f>
        <v>Medium</v>
      </c>
      <c r="F24" s="382">
        <f>IF(E24="","",VLOOKUP($B24,'C-1 On-Site WaterC'' Baseline'!$C$9:$R$257,5,FALSE))</f>
        <v>4</v>
      </c>
      <c r="G24" s="382" t="str">
        <f>IF(F24="","",VLOOKUP($B24,'C-1 On-Site WaterC'' Baseline'!$C$9:$R$257,6,FALSE))</f>
        <v>Poor</v>
      </c>
      <c r="H24" s="382">
        <f>IF(G24="","",VLOOKUP($B24,'C-1 On-Site WaterC'' Baseline'!$C$9:$R$257,7,FALSE))</f>
        <v>1</v>
      </c>
      <c r="I24" s="382" t="str">
        <f>IF(H24="","",VLOOKUP($B24,'C-1 On-Site WaterC'' Baseline'!$C$9:$R$257,8,FALSE))</f>
        <v>Area/compensation not in local strategy/ no local strategy</v>
      </c>
      <c r="J24" s="382" t="str">
        <f>IF(I24="","",VLOOKUP($B24,'C-1 On-Site WaterC'' Baseline'!$C$9:$R$257,9,FALSE))</f>
        <v>Low Strategic Significance</v>
      </c>
      <c r="K24" s="382">
        <f>IF(J24="","",VLOOKUP($B24,'C-1 On-Site WaterC'' Baseline'!$C$9:$R$257,10,FALSE))</f>
        <v>1</v>
      </c>
      <c r="L24" s="382" t="str">
        <f>IF(B24="","",VLOOKUP($B24,'C-1 On-Site WaterC'' Baseline'!$C$9:$R$257,15,FALSE))</f>
        <v>Same habitat required =</v>
      </c>
      <c r="M24" s="386">
        <f>IF(L24="","",VLOOKUP($B24,'C-1 On-Site WaterC'' Baseline'!$C$9:$R$257,16,FALSE))</f>
        <v>3.4444920347590395</v>
      </c>
      <c r="N24" s="320" t="str">
        <f t="shared" si="0"/>
        <v>Ditches</v>
      </c>
      <c r="O24" s="362" t="str">
        <f t="shared" si="2"/>
        <v>Medium - Medium</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Poor - Poor</v>
      </c>
      <c r="Q24" s="425">
        <f>IF(N24="","",VLOOKUP(B24,'C-1 On-Site WaterC'' Baseline'!$C$10:$AB$257,19,FALSE))</f>
        <v>1.1481640115863465</v>
      </c>
      <c r="R24" s="362" t="str">
        <f>IF(N24="","",VLOOKUP(N24,'G-7 WaterC'' Data'!$B$2:$G$8,2,FALSE))</f>
        <v>Medium</v>
      </c>
      <c r="S24" s="363">
        <f>IFERROR(VLOOKUP(R24,'G-7 WaterC'' Data'!$C$4:$D$8,2,FALSE),"")</f>
        <v>4</v>
      </c>
      <c r="T24" s="114" t="s">
        <v>329</v>
      </c>
      <c r="U24" s="363">
        <f>IFERROR(INDEX('G-7 WaterC'' Data'!$H$4:$L$8,MATCH(N24,'G-7 WaterC'' Data'!$B$4:$B$8,0),MATCH(T24,'G-7 WaterC'' Data'!$H$3:$L$3,0)),"")</f>
        <v>1</v>
      </c>
      <c r="V24" s="114" t="s">
        <v>1037</v>
      </c>
      <c r="W24" s="370" t="str">
        <f>IF(V24="","",IF(VLOOKUP(V24,'G-7 WaterC'' Data'!$AK$4:$AM$6,2,FALSE)=0,"Spatial Data Missing ⚠",VLOOKUP(V24,'G-7 WaterC'' Data'!$AK$4:$AM$6,2,FALSE)))</f>
        <v>Low Strategic Significance</v>
      </c>
      <c r="X24" s="363">
        <f>IF(V24="","",IF(VLOOKUP(V24,'G-7 WaterC'' Data'!$AK$4:$AM$6,3,FALSE)=0,"Spatial Data Missing ⚠",VLOOKUP(V24,'G-7 WaterC'' Data'!$AK$4:$AM$6,3,FALSE)))</f>
        <v>1</v>
      </c>
      <c r="Y24" s="362">
        <f>IFERROR(IF(OR(LEFT(P24,5)="Error",LEFT(O24,5)="Error ▲"),"Check Data ⚠",IF(F24&lt;S24,'G-7 WaterC'' Data'!$R$3,INDEX('G-7 WaterC'' Data'!$U$5:$Y$9,MATCH(G24,'G-7 WaterC'' Data'!$T$5:$T$9,0),MATCH(T24,'G-7 WaterC'' Data'!$U$4:$Y$4,0)))),"")</f>
        <v>1</v>
      </c>
      <c r="Z24" s="159">
        <v>0</v>
      </c>
      <c r="AA24" s="159">
        <v>0</v>
      </c>
      <c r="AB24" s="370" t="str">
        <f t="shared" si="3"/>
        <v>Standard time to target condition applied</v>
      </c>
      <c r="AC24" s="383">
        <f t="shared" si="4"/>
        <v>1</v>
      </c>
      <c r="AD24" s="422">
        <f>IFERROR(IF(AC24="Check Data ⚠","Check Data ⚠",VLOOKUP(AC24,'G-4 Temporal multipliers'!$A$4:$C$37,3,FALSE)),"")</f>
        <v>0.96499999999999997</v>
      </c>
      <c r="AE24" s="362" t="str">
        <f>IF(N24="","",VLOOKUP(N24,'G-7 WaterC'' Data'!$B$4:$G$8,5,FALSE))</f>
        <v>Medium</v>
      </c>
      <c r="AF24" s="370" t="str">
        <f t="shared" si="5"/>
        <v>Standard difficulty applied</v>
      </c>
      <c r="AG24" s="401" t="str">
        <f t="shared" si="6"/>
        <v>Medium</v>
      </c>
      <c r="AH24" s="363">
        <f t="shared" si="1"/>
        <v>0.67</v>
      </c>
      <c r="AI24" s="122" t="s">
        <v>1126</v>
      </c>
      <c r="AJ24" s="363">
        <f>IF(AI24="","",IF(VLOOKUP(AI24,'G-7 WaterC'' Data'!$AA$4:$AB$7,2,FALSE)=0,"Spatial Data Missing ⚠",VLOOKUP(AI24,'G-7 WaterC'' Data'!$AA$4:$AB$7,2,FALSE)))</f>
        <v>1</v>
      </c>
      <c r="AK24" s="123" t="s">
        <v>1153</v>
      </c>
      <c r="AL24" s="363">
        <f>IF(AK24="","",IF(VLOOKUP(AK24,'G-7 WaterC'' Data'!$AD$4:$AE$14,2,FALSE)=0,"Spatial Data Missing ⚠",VLOOKUP(AK24,'G-7 WaterC'' Data'!$AD$4:$AE$14,2,FALSE)))</f>
        <v>1</v>
      </c>
      <c r="AM24" s="405">
        <f t="shared" si="7"/>
        <v>4.592656046345386</v>
      </c>
      <c r="AN24" s="117"/>
      <c r="AO24" s="118"/>
      <c r="AP24" s="120" t="s">
        <v>2016</v>
      </c>
      <c r="AV24" s="30" t="str">
        <f>IFERROR(INDEX('G-7 WaterC'' Data'!$AZ$3:$AZ$7,MATCH(N24,'G-7 WaterC'' Data'!$AY$3:$AY$7,0)),"")</f>
        <v>Rivercond1</v>
      </c>
    </row>
    <row r="25" spans="2:48" ht="28.5" x14ac:dyDescent="0.2">
      <c r="B25" s="392">
        <f>'C-1 On-Site WaterC'' Baseline'!AO23</f>
        <v>16</v>
      </c>
      <c r="C25" s="382" t="str">
        <f>IF(B25="","",VLOOKUP($B25,'C-1 On-Site WaterC'' Baseline'!$C$9:$R$257,2,FALSE))</f>
        <v>Ditches</v>
      </c>
      <c r="D25" s="382">
        <f>IF(C25="","",VLOOKUP($B25,'C-1 On-Site WaterC'' Baseline'!$C$9:$R$257,3,FALSE))</f>
        <v>9.538275713586437E-3</v>
      </c>
      <c r="E25" s="382" t="str">
        <f>IF(D25="","",VLOOKUP($B25,'C-1 On-Site WaterC'' Baseline'!$C$9:$R$257,4,FALSE))</f>
        <v>Medium</v>
      </c>
      <c r="F25" s="382">
        <f>IF(E25="","",VLOOKUP($B25,'C-1 On-Site WaterC'' Baseline'!$C$9:$R$257,5,FALSE))</f>
        <v>4</v>
      </c>
      <c r="G25" s="382" t="str">
        <f>IF(F25="","",VLOOKUP($B25,'C-1 On-Site WaterC'' Baseline'!$C$9:$R$257,6,FALSE))</f>
        <v>Poor</v>
      </c>
      <c r="H25" s="382">
        <f>IF(G25="","",VLOOKUP($B25,'C-1 On-Site WaterC'' Baseline'!$C$9:$R$257,7,FALSE))</f>
        <v>1</v>
      </c>
      <c r="I25" s="382" t="str">
        <f>IF(H25="","",VLOOKUP($B25,'C-1 On-Site WaterC'' Baseline'!$C$9:$R$257,8,FALSE))</f>
        <v>Formally identified in local strategy</v>
      </c>
      <c r="J25" s="382" t="str">
        <f>IF(I25="","",VLOOKUP($B25,'C-1 On-Site WaterC'' Baseline'!$C$9:$R$257,9,FALSE))</f>
        <v xml:space="preserve">High strategic significance </v>
      </c>
      <c r="K25" s="382">
        <f>IF(J25="","",VLOOKUP($B25,'C-1 On-Site WaterC'' Baseline'!$C$9:$R$257,10,FALSE))</f>
        <v>1.1499999999999999</v>
      </c>
      <c r="L25" s="382" t="str">
        <f>IF(B25="","",VLOOKUP($B25,'C-1 On-Site WaterC'' Baseline'!$C$9:$R$257,15,FALSE))</f>
        <v>Same habitat required =</v>
      </c>
      <c r="M25" s="386">
        <f>IF(L25="","",VLOOKUP($B25,'C-1 On-Site WaterC'' Baseline'!$C$9:$R$257,16,FALSE))</f>
        <v>3.2907051211873206E-2</v>
      </c>
      <c r="N25" s="320" t="str">
        <f t="shared" si="0"/>
        <v>Ditches</v>
      </c>
      <c r="O25" s="362" t="str">
        <f t="shared" si="2"/>
        <v>Medium - Medium</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Poor - Poor</v>
      </c>
      <c r="Q25" s="425">
        <f>IF(N25="","",VLOOKUP(B25,'C-1 On-Site WaterC'' Baseline'!$C$10:$AB$257,19,FALSE))</f>
        <v>9.538275713586437E-3</v>
      </c>
      <c r="R25" s="362" t="str">
        <f>IF(N25="","",VLOOKUP(N25,'G-7 WaterC'' Data'!$B$2:$G$8,2,FALSE))</f>
        <v>Medium</v>
      </c>
      <c r="S25" s="363">
        <f>IFERROR(VLOOKUP(R25,'G-7 WaterC'' Data'!$C$4:$D$8,2,FALSE),"")</f>
        <v>4</v>
      </c>
      <c r="T25" s="114" t="s">
        <v>329</v>
      </c>
      <c r="U25" s="363">
        <f>IFERROR(INDEX('G-7 WaterC'' Data'!$H$4:$L$8,MATCH(N25,'G-7 WaterC'' Data'!$B$4:$B$8,0),MATCH(T25,'G-7 WaterC'' Data'!$H$3:$L$3,0)),"")</f>
        <v>1</v>
      </c>
      <c r="V25" s="114" t="s">
        <v>1029</v>
      </c>
      <c r="W25" s="370" t="str">
        <f>IF(V25="","",IF(VLOOKUP(V25,'G-7 WaterC'' Data'!$AK$4:$AM$6,2,FALSE)=0,"Spatial Data Missing ⚠",VLOOKUP(V25,'G-7 WaterC'' Data'!$AK$4:$AM$6,2,FALSE)))</f>
        <v xml:space="preserve">High strategic significance </v>
      </c>
      <c r="X25" s="363">
        <f>IF(V25="","",IF(VLOOKUP(V25,'G-7 WaterC'' Data'!$AK$4:$AM$6,3,FALSE)=0,"Spatial Data Missing ⚠",VLOOKUP(V25,'G-7 WaterC'' Data'!$AK$4:$AM$6,3,FALSE)))</f>
        <v>1.1499999999999999</v>
      </c>
      <c r="Y25" s="362">
        <f>IFERROR(IF(OR(LEFT(P25,5)="Error",LEFT(O25,5)="Error ▲"),"Check Data ⚠",IF(F25&lt;S25,'G-7 WaterC'' Data'!$R$3,INDEX('G-7 WaterC'' Data'!$U$5:$Y$9,MATCH(G25,'G-7 WaterC'' Data'!$T$5:$T$9,0),MATCH(T25,'G-7 WaterC'' Data'!$U$4:$Y$4,0)))),"")</f>
        <v>1</v>
      </c>
      <c r="Z25" s="159">
        <v>0</v>
      </c>
      <c r="AA25" s="159">
        <v>0</v>
      </c>
      <c r="AB25" s="370" t="str">
        <f t="shared" si="3"/>
        <v>Standard time to target condition applied</v>
      </c>
      <c r="AC25" s="383">
        <f t="shared" si="4"/>
        <v>1</v>
      </c>
      <c r="AD25" s="422">
        <f>IFERROR(IF(AC25="Check Data ⚠","Check Data ⚠",VLOOKUP(AC25,'G-4 Temporal multipliers'!$A$4:$C$37,3,FALSE)),"")</f>
        <v>0.96499999999999997</v>
      </c>
      <c r="AE25" s="362" t="str">
        <f>IF(N25="","",VLOOKUP(N25,'G-7 WaterC'' Data'!$B$4:$G$8,5,FALSE))</f>
        <v>Medium</v>
      </c>
      <c r="AF25" s="370" t="str">
        <f t="shared" si="5"/>
        <v>Standard difficulty applied</v>
      </c>
      <c r="AG25" s="401" t="str">
        <f t="shared" si="6"/>
        <v>Medium</v>
      </c>
      <c r="AH25" s="363">
        <f t="shared" si="1"/>
        <v>0.67</v>
      </c>
      <c r="AI25" s="122" t="s">
        <v>1126</v>
      </c>
      <c r="AJ25" s="363">
        <f>IF(AI25="","",IF(VLOOKUP(AI25,'G-7 WaterC'' Data'!$AA$4:$AB$7,2,FALSE)=0,"Spatial Data Missing ⚠",VLOOKUP(AI25,'G-7 WaterC'' Data'!$AA$4:$AB$7,2,FALSE)))</f>
        <v>1</v>
      </c>
      <c r="AK25" s="123" t="s">
        <v>1153</v>
      </c>
      <c r="AL25" s="363">
        <f>IF(AK25="","",IF(VLOOKUP(AK25,'G-7 WaterC'' Data'!$AD$4:$AE$14,2,FALSE)=0,"Spatial Data Missing ⚠",VLOOKUP(AK25,'G-7 WaterC'' Data'!$AD$4:$AE$14,2,FALSE)))</f>
        <v>1</v>
      </c>
      <c r="AM25" s="405">
        <f t="shared" si="7"/>
        <v>4.3876068282497606E-2</v>
      </c>
      <c r="AN25" s="117"/>
      <c r="AO25" s="118"/>
      <c r="AP25" s="120" t="s">
        <v>2017</v>
      </c>
      <c r="AV25" s="30" t="str">
        <f>IFERROR(INDEX('G-7 WaterC'' Data'!$AZ$3:$AZ$7,MATCH(N25,'G-7 WaterC'' Data'!$AY$3:$AY$7,0)),"")</f>
        <v>Rivercond1</v>
      </c>
    </row>
    <row r="26" spans="2:48" ht="28.5" x14ac:dyDescent="0.2">
      <c r="B26" s="392">
        <f>'C-1 On-Site WaterC'' Baseline'!AO24</f>
        <v>17</v>
      </c>
      <c r="C26" s="382" t="str">
        <f>IF(B26="","",VLOOKUP($B26,'C-1 On-Site WaterC'' Baseline'!$C$9:$R$257,2,FALSE))</f>
        <v>Ditches</v>
      </c>
      <c r="D26" s="382">
        <f>IF(C26="","",VLOOKUP($B26,'C-1 On-Site WaterC'' Baseline'!$C$9:$R$257,3,FALSE))</f>
        <v>0.48910357087939849</v>
      </c>
      <c r="E26" s="382" t="str">
        <f>IF(D26="","",VLOOKUP($B26,'C-1 On-Site WaterC'' Baseline'!$C$9:$R$257,4,FALSE))</f>
        <v>Medium</v>
      </c>
      <c r="F26" s="382">
        <f>IF(E26="","",VLOOKUP($B26,'C-1 On-Site WaterC'' Baseline'!$C$9:$R$257,5,FALSE))</f>
        <v>4</v>
      </c>
      <c r="G26" s="382" t="str">
        <f>IF(F26="","",VLOOKUP($B26,'C-1 On-Site WaterC'' Baseline'!$C$9:$R$257,6,FALSE))</f>
        <v>Poor</v>
      </c>
      <c r="H26" s="382">
        <f>IF(G26="","",VLOOKUP($B26,'C-1 On-Site WaterC'' Baseline'!$C$9:$R$257,7,FALSE))</f>
        <v>1</v>
      </c>
      <c r="I26" s="382" t="str">
        <f>IF(H26="","",VLOOKUP($B26,'C-1 On-Site WaterC'' Baseline'!$C$9:$R$257,8,FALSE))</f>
        <v>Area/compensation not in local strategy/ no local strategy</v>
      </c>
      <c r="J26" s="382" t="str">
        <f>IF(I26="","",VLOOKUP($B26,'C-1 On-Site WaterC'' Baseline'!$C$9:$R$257,9,FALSE))</f>
        <v>Low Strategic Significance</v>
      </c>
      <c r="K26" s="382">
        <f>IF(J26="","",VLOOKUP($B26,'C-1 On-Site WaterC'' Baseline'!$C$9:$R$257,10,FALSE))</f>
        <v>1</v>
      </c>
      <c r="L26" s="382" t="str">
        <f>IF(B26="","",VLOOKUP($B26,'C-1 On-Site WaterC'' Baseline'!$C$9:$R$257,15,FALSE))</f>
        <v>Same habitat required =</v>
      </c>
      <c r="M26" s="386">
        <f>IF(L26="","",VLOOKUP($B26,'C-1 On-Site WaterC'' Baseline'!$C$9:$R$257,16,FALSE))</f>
        <v>1.4673107126381955</v>
      </c>
      <c r="N26" s="320" t="str">
        <f t="shared" si="0"/>
        <v>Ditches</v>
      </c>
      <c r="O26" s="362" t="str">
        <f t="shared" si="2"/>
        <v>Medium - Medium</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Poor - Poor</v>
      </c>
      <c r="Q26" s="425">
        <f>IF(N26="","",VLOOKUP(B26,'C-1 On-Site WaterC'' Baseline'!$C$10:$AB$257,19,FALSE))</f>
        <v>0.48910357087939849</v>
      </c>
      <c r="R26" s="362" t="str">
        <f>IF(N26="","",VLOOKUP(N26,'G-7 WaterC'' Data'!$B$2:$G$8,2,FALSE))</f>
        <v>Medium</v>
      </c>
      <c r="S26" s="363">
        <f>IFERROR(VLOOKUP(R26,'G-7 WaterC'' Data'!$C$4:$D$8,2,FALSE),"")</f>
        <v>4</v>
      </c>
      <c r="T26" s="114" t="s">
        <v>329</v>
      </c>
      <c r="U26" s="363">
        <f>IFERROR(INDEX('G-7 WaterC'' Data'!$H$4:$L$8,MATCH(N26,'G-7 WaterC'' Data'!$B$4:$B$8,0),MATCH(T26,'G-7 WaterC'' Data'!$H$3:$L$3,0)),"")</f>
        <v>1</v>
      </c>
      <c r="V26" s="114" t="s">
        <v>1037</v>
      </c>
      <c r="W26" s="370" t="str">
        <f>IF(V26="","",IF(VLOOKUP(V26,'G-7 WaterC'' Data'!$AK$4:$AM$6,2,FALSE)=0,"Spatial Data Missing ⚠",VLOOKUP(V26,'G-7 WaterC'' Data'!$AK$4:$AM$6,2,FALSE)))</f>
        <v>Low Strategic Significance</v>
      </c>
      <c r="X26" s="363">
        <f>IF(V26="","",IF(VLOOKUP(V26,'G-7 WaterC'' Data'!$AK$4:$AM$6,3,FALSE)=0,"Spatial Data Missing ⚠",VLOOKUP(V26,'G-7 WaterC'' Data'!$AK$4:$AM$6,3,FALSE)))</f>
        <v>1</v>
      </c>
      <c r="Y26" s="362">
        <f>IFERROR(IF(OR(LEFT(P26,5)="Error",LEFT(O26,5)="Error ▲"),"Check Data ⚠",IF(F26&lt;S26,'G-7 WaterC'' Data'!$R$3,INDEX('G-7 WaterC'' Data'!$U$5:$Y$9,MATCH(G26,'G-7 WaterC'' Data'!$T$5:$T$9,0),MATCH(T26,'G-7 WaterC'' Data'!$U$4:$Y$4,0)))),"")</f>
        <v>1</v>
      </c>
      <c r="Z26" s="159">
        <v>0</v>
      </c>
      <c r="AA26" s="159">
        <v>0</v>
      </c>
      <c r="AB26" s="370" t="str">
        <f t="shared" si="3"/>
        <v>Standard time to target condition applied</v>
      </c>
      <c r="AC26" s="383">
        <f t="shared" si="4"/>
        <v>1</v>
      </c>
      <c r="AD26" s="422">
        <f>IFERROR(IF(AC26="Check Data ⚠","Check Data ⚠",VLOOKUP(AC26,'G-4 Temporal multipliers'!$A$4:$C$37,3,FALSE)),"")</f>
        <v>0.96499999999999997</v>
      </c>
      <c r="AE26" s="362" t="str">
        <f>IF(N26="","",VLOOKUP(N26,'G-7 WaterC'' Data'!$B$4:$G$8,5,FALSE))</f>
        <v>Medium</v>
      </c>
      <c r="AF26" s="370" t="str">
        <f t="shared" si="5"/>
        <v>Standard difficulty applied</v>
      </c>
      <c r="AG26" s="401" t="str">
        <f t="shared" si="6"/>
        <v>Medium</v>
      </c>
      <c r="AH26" s="363">
        <f t="shared" si="1"/>
        <v>0.67</v>
      </c>
      <c r="AI26" s="122" t="s">
        <v>1126</v>
      </c>
      <c r="AJ26" s="363">
        <f>IF(AI26="","",IF(VLOOKUP(AI26,'G-7 WaterC'' Data'!$AA$4:$AB$7,2,FALSE)=0,"Spatial Data Missing ⚠",VLOOKUP(AI26,'G-7 WaterC'' Data'!$AA$4:$AB$7,2,FALSE)))</f>
        <v>1</v>
      </c>
      <c r="AK26" s="123" t="s">
        <v>1153</v>
      </c>
      <c r="AL26" s="363">
        <f>IF(AK26="","",IF(VLOOKUP(AK26,'G-7 WaterC'' Data'!$AD$4:$AE$14,2,FALSE)=0,"Spatial Data Missing ⚠",VLOOKUP(AK26,'G-7 WaterC'' Data'!$AD$4:$AE$14,2,FALSE)))</f>
        <v>1</v>
      </c>
      <c r="AM26" s="405">
        <f t="shared" si="7"/>
        <v>1.9564142835175939</v>
      </c>
      <c r="AN26" s="117"/>
      <c r="AO26" s="118"/>
      <c r="AP26" s="120" t="s">
        <v>2018</v>
      </c>
      <c r="AV26" s="30" t="str">
        <f>IFERROR(INDEX('G-7 WaterC'' Data'!$AZ$3:$AZ$7,MATCH(N26,'G-7 WaterC'' Data'!$AY$3:$AY$7,0)),"")</f>
        <v>Rivercond1</v>
      </c>
    </row>
    <row r="27" spans="2:48" ht="28.5" x14ac:dyDescent="0.2">
      <c r="B27" s="392">
        <f>'C-1 On-Site WaterC'' Baseline'!AO25</f>
        <v>18</v>
      </c>
      <c r="C27" s="382" t="str">
        <f>IF(B27="","",VLOOKUP($B27,'C-1 On-Site WaterC'' Baseline'!$C$9:$R$257,2,FALSE))</f>
        <v>Ditches</v>
      </c>
      <c r="D27" s="382">
        <f>IF(C27="","",VLOOKUP($B27,'C-1 On-Site WaterC'' Baseline'!$C$9:$R$257,3,FALSE))</f>
        <v>0.45934848390362532</v>
      </c>
      <c r="E27" s="382" t="str">
        <f>IF(D27="","",VLOOKUP($B27,'C-1 On-Site WaterC'' Baseline'!$C$9:$R$257,4,FALSE))</f>
        <v>Medium</v>
      </c>
      <c r="F27" s="382">
        <f>IF(E27="","",VLOOKUP($B27,'C-1 On-Site WaterC'' Baseline'!$C$9:$R$257,5,FALSE))</f>
        <v>4</v>
      </c>
      <c r="G27" s="382" t="str">
        <f>IF(F27="","",VLOOKUP($B27,'C-1 On-Site WaterC'' Baseline'!$C$9:$R$257,6,FALSE))</f>
        <v>Poor</v>
      </c>
      <c r="H27" s="382">
        <f>IF(G27="","",VLOOKUP($B27,'C-1 On-Site WaterC'' Baseline'!$C$9:$R$257,7,FALSE))</f>
        <v>1</v>
      </c>
      <c r="I27" s="382" t="str">
        <f>IF(H27="","",VLOOKUP($B27,'C-1 On-Site WaterC'' Baseline'!$C$9:$R$257,8,FALSE))</f>
        <v>Area/compensation not in local strategy/ no local strategy</v>
      </c>
      <c r="J27" s="382" t="str">
        <f>IF(I27="","",VLOOKUP($B27,'C-1 On-Site WaterC'' Baseline'!$C$9:$R$257,9,FALSE))</f>
        <v>Low Strategic Significance</v>
      </c>
      <c r="K27" s="382">
        <f>IF(J27="","",VLOOKUP($B27,'C-1 On-Site WaterC'' Baseline'!$C$9:$R$257,10,FALSE))</f>
        <v>1</v>
      </c>
      <c r="L27" s="382" t="str">
        <f>IF(B27="","",VLOOKUP($B27,'C-1 On-Site WaterC'' Baseline'!$C$9:$R$257,15,FALSE))</f>
        <v>Same habitat required =</v>
      </c>
      <c r="M27" s="386">
        <f>IF(L27="","",VLOOKUP($B27,'C-1 On-Site WaterC'' Baseline'!$C$9:$R$257,16,FALSE))</f>
        <v>1.378045451710876</v>
      </c>
      <c r="N27" s="320" t="str">
        <f t="shared" si="0"/>
        <v>Ditches</v>
      </c>
      <c r="O27" s="362" t="str">
        <f t="shared" si="2"/>
        <v>Medium - Medium</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Poor - Poor</v>
      </c>
      <c r="Q27" s="425">
        <f>IF(N27="","",VLOOKUP(B27,'C-1 On-Site WaterC'' Baseline'!$C$10:$AB$257,19,FALSE))</f>
        <v>0.45934848390362532</v>
      </c>
      <c r="R27" s="362" t="str">
        <f>IF(N27="","",VLOOKUP(N27,'G-7 WaterC'' Data'!$B$2:$G$8,2,FALSE))</f>
        <v>Medium</v>
      </c>
      <c r="S27" s="363">
        <f>IFERROR(VLOOKUP(R27,'G-7 WaterC'' Data'!$C$4:$D$8,2,FALSE),"")</f>
        <v>4</v>
      </c>
      <c r="T27" s="114" t="s">
        <v>329</v>
      </c>
      <c r="U27" s="363">
        <f>IFERROR(INDEX('G-7 WaterC'' Data'!$H$4:$L$8,MATCH(N27,'G-7 WaterC'' Data'!$B$4:$B$8,0),MATCH(T27,'G-7 WaterC'' Data'!$H$3:$L$3,0)),"")</f>
        <v>1</v>
      </c>
      <c r="V27" s="114" t="s">
        <v>1037</v>
      </c>
      <c r="W27" s="370" t="str">
        <f>IF(V27="","",IF(VLOOKUP(V27,'G-7 WaterC'' Data'!$AK$4:$AM$6,2,FALSE)=0,"Spatial Data Missing ⚠",VLOOKUP(V27,'G-7 WaterC'' Data'!$AK$4:$AM$6,2,FALSE)))</f>
        <v>Low Strategic Significance</v>
      </c>
      <c r="X27" s="363">
        <f>IF(V27="","",IF(VLOOKUP(V27,'G-7 WaterC'' Data'!$AK$4:$AM$6,3,FALSE)=0,"Spatial Data Missing ⚠",VLOOKUP(V27,'G-7 WaterC'' Data'!$AK$4:$AM$6,3,FALSE)))</f>
        <v>1</v>
      </c>
      <c r="Y27" s="362">
        <f>IFERROR(IF(OR(LEFT(P27,5)="Error",LEFT(O27,5)="Error ▲"),"Check Data ⚠",IF(F27&lt;S27,'G-7 WaterC'' Data'!$R$3,INDEX('G-7 WaterC'' Data'!$U$5:$Y$9,MATCH(G27,'G-7 WaterC'' Data'!$T$5:$T$9,0),MATCH(T27,'G-7 WaterC'' Data'!$U$4:$Y$4,0)))),"")</f>
        <v>1</v>
      </c>
      <c r="Z27" s="159">
        <v>0</v>
      </c>
      <c r="AA27" s="159">
        <v>0</v>
      </c>
      <c r="AB27" s="370" t="str">
        <f t="shared" si="3"/>
        <v>Standard time to target condition applied</v>
      </c>
      <c r="AC27" s="383">
        <f t="shared" si="4"/>
        <v>1</v>
      </c>
      <c r="AD27" s="422">
        <f>IFERROR(IF(AC27="Check Data ⚠","Check Data ⚠",VLOOKUP(AC27,'G-4 Temporal multipliers'!$A$4:$C$37,3,FALSE)),"")</f>
        <v>0.96499999999999997</v>
      </c>
      <c r="AE27" s="362" t="str">
        <f>IF(N27="","",VLOOKUP(N27,'G-7 WaterC'' Data'!$B$4:$G$8,5,FALSE))</f>
        <v>Medium</v>
      </c>
      <c r="AF27" s="370" t="str">
        <f t="shared" si="5"/>
        <v>Standard difficulty applied</v>
      </c>
      <c r="AG27" s="401" t="str">
        <f t="shared" si="6"/>
        <v>Medium</v>
      </c>
      <c r="AH27" s="363">
        <f t="shared" si="1"/>
        <v>0.67</v>
      </c>
      <c r="AI27" s="122" t="s">
        <v>1126</v>
      </c>
      <c r="AJ27" s="363">
        <f>IF(AI27="","",IF(VLOOKUP(AI27,'G-7 WaterC'' Data'!$AA$4:$AB$7,2,FALSE)=0,"Spatial Data Missing ⚠",VLOOKUP(AI27,'G-7 WaterC'' Data'!$AA$4:$AB$7,2,FALSE)))</f>
        <v>1</v>
      </c>
      <c r="AK27" s="123" t="s">
        <v>1142</v>
      </c>
      <c r="AL27" s="363">
        <f>IF(AK27="","",IF(VLOOKUP(AK27,'G-7 WaterC'' Data'!$AD$4:$AE$14,2,FALSE)=0,"Spatial Data Missing ⚠",VLOOKUP(AK27,'G-7 WaterC'' Data'!$AD$4:$AE$14,2,FALSE)))</f>
        <v>0.87</v>
      </c>
      <c r="AM27" s="405">
        <f t="shared" si="7"/>
        <v>1.5985327239846161</v>
      </c>
      <c r="AN27" s="117"/>
      <c r="AO27" s="118"/>
      <c r="AP27" s="120" t="s">
        <v>2019</v>
      </c>
      <c r="AV27" s="30" t="str">
        <f>IFERROR(INDEX('G-7 WaterC'' Data'!$AZ$3:$AZ$7,MATCH(N27,'G-7 WaterC'' Data'!$AY$3:$AY$7,0)),"")</f>
        <v>Rivercond1</v>
      </c>
    </row>
    <row r="28" spans="2:48" ht="28.5" x14ac:dyDescent="0.2">
      <c r="B28" s="392">
        <f>'C-1 On-Site WaterC'' Baseline'!AO26</f>
        <v>19</v>
      </c>
      <c r="C28" s="382" t="str">
        <f>IF(B28="","",VLOOKUP($B28,'C-1 On-Site WaterC'' Baseline'!$C$9:$R$257,2,FALSE))</f>
        <v>Ditches</v>
      </c>
      <c r="D28" s="382">
        <f>IF(C28="","",VLOOKUP($B28,'C-1 On-Site WaterC'' Baseline'!$C$9:$R$257,3,FALSE))</f>
        <v>8.2967604407138101E-2</v>
      </c>
      <c r="E28" s="382" t="str">
        <f>IF(D28="","",VLOOKUP($B28,'C-1 On-Site WaterC'' Baseline'!$C$9:$R$257,4,FALSE))</f>
        <v>Medium</v>
      </c>
      <c r="F28" s="382">
        <f>IF(E28="","",VLOOKUP($B28,'C-1 On-Site WaterC'' Baseline'!$C$9:$R$257,5,FALSE))</f>
        <v>4</v>
      </c>
      <c r="G28" s="382" t="str">
        <f>IF(F28="","",VLOOKUP($B28,'C-1 On-Site WaterC'' Baseline'!$C$9:$R$257,6,FALSE))</f>
        <v>Poor</v>
      </c>
      <c r="H28" s="382">
        <f>IF(G28="","",VLOOKUP($B28,'C-1 On-Site WaterC'' Baseline'!$C$9:$R$257,7,FALSE))</f>
        <v>1</v>
      </c>
      <c r="I28" s="382" t="str">
        <f>IF(H28="","",VLOOKUP($B28,'C-1 On-Site WaterC'' Baseline'!$C$9:$R$257,8,FALSE))</f>
        <v>Area/compensation not in local strategy/ no local strategy</v>
      </c>
      <c r="J28" s="382" t="str">
        <f>IF(I28="","",VLOOKUP($B28,'C-1 On-Site WaterC'' Baseline'!$C$9:$R$257,9,FALSE))</f>
        <v>Low Strategic Significance</v>
      </c>
      <c r="K28" s="382">
        <f>IF(J28="","",VLOOKUP($B28,'C-1 On-Site WaterC'' Baseline'!$C$9:$R$257,10,FALSE))</f>
        <v>1</v>
      </c>
      <c r="L28" s="382" t="str">
        <f>IF(B28="","",VLOOKUP($B28,'C-1 On-Site WaterC'' Baseline'!$C$9:$R$257,15,FALSE))</f>
        <v>Same habitat required =</v>
      </c>
      <c r="M28" s="386">
        <f>IF(L28="","",VLOOKUP($B28,'C-1 On-Site WaterC'' Baseline'!$C$9:$R$257,16,FALSE))</f>
        <v>0.2489028132214143</v>
      </c>
      <c r="N28" s="320" t="str">
        <f t="shared" si="0"/>
        <v>Ditches</v>
      </c>
      <c r="O28" s="362" t="str">
        <f t="shared" si="2"/>
        <v>Medium - Medium</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Poor - Poor</v>
      </c>
      <c r="Q28" s="425">
        <f>IF(N28="","",VLOOKUP(B28,'C-1 On-Site WaterC'' Baseline'!$C$10:$AB$257,19,FALSE))</f>
        <v>8.2967604407138101E-2</v>
      </c>
      <c r="R28" s="362" t="str">
        <f>IF(N28="","",VLOOKUP(N28,'G-7 WaterC'' Data'!$B$2:$G$8,2,FALSE))</f>
        <v>Medium</v>
      </c>
      <c r="S28" s="363">
        <f>IFERROR(VLOOKUP(R28,'G-7 WaterC'' Data'!$C$4:$D$8,2,FALSE),"")</f>
        <v>4</v>
      </c>
      <c r="T28" s="114" t="s">
        <v>329</v>
      </c>
      <c r="U28" s="363">
        <f>IFERROR(INDEX('G-7 WaterC'' Data'!$H$4:$L$8,MATCH(N28,'G-7 WaterC'' Data'!$B$4:$B$8,0),MATCH(T28,'G-7 WaterC'' Data'!$H$3:$L$3,0)),"")</f>
        <v>1</v>
      </c>
      <c r="V28" s="114" t="s">
        <v>1037</v>
      </c>
      <c r="W28" s="370" t="str">
        <f>IF(V28="","",IF(VLOOKUP(V28,'G-7 WaterC'' Data'!$AK$4:$AM$6,2,FALSE)=0,"Spatial Data Missing ⚠",VLOOKUP(V28,'G-7 WaterC'' Data'!$AK$4:$AM$6,2,FALSE)))</f>
        <v>Low Strategic Significance</v>
      </c>
      <c r="X28" s="363">
        <f>IF(V28="","",IF(VLOOKUP(V28,'G-7 WaterC'' Data'!$AK$4:$AM$6,3,FALSE)=0,"Spatial Data Missing ⚠",VLOOKUP(V28,'G-7 WaterC'' Data'!$AK$4:$AM$6,3,FALSE)))</f>
        <v>1</v>
      </c>
      <c r="Y28" s="362">
        <f>IFERROR(IF(OR(LEFT(P28,5)="Error",LEFT(O28,5)="Error ▲"),"Check Data ⚠",IF(F28&lt;S28,'G-7 WaterC'' Data'!$R$3,INDEX('G-7 WaterC'' Data'!$U$5:$Y$9,MATCH(G28,'G-7 WaterC'' Data'!$T$5:$T$9,0),MATCH(T28,'G-7 WaterC'' Data'!$U$4:$Y$4,0)))),"")</f>
        <v>1</v>
      </c>
      <c r="Z28" s="159">
        <v>0</v>
      </c>
      <c r="AA28" s="159">
        <v>0</v>
      </c>
      <c r="AB28" s="370" t="str">
        <f t="shared" si="3"/>
        <v>Standard time to target condition applied</v>
      </c>
      <c r="AC28" s="383">
        <f t="shared" si="4"/>
        <v>1</v>
      </c>
      <c r="AD28" s="422">
        <f>IFERROR(IF(AC28="Check Data ⚠","Check Data ⚠",VLOOKUP(AC28,'G-4 Temporal multipliers'!$A$4:$C$37,3,FALSE)),"")</f>
        <v>0.96499999999999997</v>
      </c>
      <c r="AE28" s="362" t="str">
        <f>IF(N28="","",VLOOKUP(N28,'G-7 WaterC'' Data'!$B$4:$G$8,5,FALSE))</f>
        <v>Medium</v>
      </c>
      <c r="AF28" s="370" t="str">
        <f t="shared" si="5"/>
        <v>Standard difficulty applied</v>
      </c>
      <c r="AG28" s="401" t="str">
        <f t="shared" si="6"/>
        <v>Medium</v>
      </c>
      <c r="AH28" s="363">
        <f t="shared" si="1"/>
        <v>0.67</v>
      </c>
      <c r="AI28" s="122" t="s">
        <v>1126</v>
      </c>
      <c r="AJ28" s="363">
        <f>IF(AI28="","",IF(VLOOKUP(AI28,'G-7 WaterC'' Data'!$AA$4:$AB$7,2,FALSE)=0,"Spatial Data Missing ⚠",VLOOKUP(AI28,'G-7 WaterC'' Data'!$AA$4:$AB$7,2,FALSE)))</f>
        <v>1</v>
      </c>
      <c r="AK28" s="123" t="s">
        <v>1142</v>
      </c>
      <c r="AL28" s="363">
        <f>IF(AK28="","",IF(VLOOKUP(AK28,'G-7 WaterC'' Data'!$AD$4:$AE$14,2,FALSE)=0,"Spatial Data Missing ⚠",VLOOKUP(AK28,'G-7 WaterC'' Data'!$AD$4:$AE$14,2,FALSE)))</f>
        <v>0.87</v>
      </c>
      <c r="AM28" s="405">
        <f t="shared" si="7"/>
        <v>0.28872726333684057</v>
      </c>
      <c r="AN28" s="117"/>
      <c r="AO28" s="118"/>
      <c r="AP28" s="120" t="s">
        <v>2020</v>
      </c>
      <c r="AV28" s="30" t="str">
        <f>IFERROR(INDEX('G-7 WaterC'' Data'!$AZ$3:$AZ$7,MATCH(N28,'G-7 WaterC'' Data'!$AY$3:$AY$7,0)),"")</f>
        <v>Rivercond1</v>
      </c>
    </row>
    <row r="29" spans="2:48" ht="28.5" x14ac:dyDescent="0.2">
      <c r="B29" s="392">
        <f>'C-1 On-Site WaterC'' Baseline'!AO27</f>
        <v>22</v>
      </c>
      <c r="C29" s="382" t="str">
        <f>IF(B29="","",VLOOKUP($B29,'C-1 On-Site WaterC'' Baseline'!$C$9:$R$257,2,FALSE))</f>
        <v>Ditches</v>
      </c>
      <c r="D29" s="382">
        <f>IF(C29="","",VLOOKUP($B29,'C-1 On-Site WaterC'' Baseline'!$C$9:$R$257,3,FALSE))</f>
        <v>0.35608632040832972</v>
      </c>
      <c r="E29" s="382" t="str">
        <f>IF(D29="","",VLOOKUP($B29,'C-1 On-Site WaterC'' Baseline'!$C$9:$R$257,4,FALSE))</f>
        <v>Medium</v>
      </c>
      <c r="F29" s="382">
        <f>IF(E29="","",VLOOKUP($B29,'C-1 On-Site WaterC'' Baseline'!$C$9:$R$257,5,FALSE))</f>
        <v>4</v>
      </c>
      <c r="G29" s="382" t="str">
        <f>IF(F29="","",VLOOKUP($B29,'C-1 On-Site WaterC'' Baseline'!$C$9:$R$257,6,FALSE))</f>
        <v>Poor</v>
      </c>
      <c r="H29" s="382">
        <f>IF(G29="","",VLOOKUP($B29,'C-1 On-Site WaterC'' Baseline'!$C$9:$R$257,7,FALSE))</f>
        <v>1</v>
      </c>
      <c r="I29" s="382" t="str">
        <f>IF(H29="","",VLOOKUP($B29,'C-1 On-Site WaterC'' Baseline'!$C$9:$R$257,8,FALSE))</f>
        <v>Formally identified in local strategy</v>
      </c>
      <c r="J29" s="382" t="str">
        <f>IF(I29="","",VLOOKUP($B29,'C-1 On-Site WaterC'' Baseline'!$C$9:$R$257,9,FALSE))</f>
        <v xml:space="preserve">High strategic significance </v>
      </c>
      <c r="K29" s="382">
        <f>IF(J29="","",VLOOKUP($B29,'C-1 On-Site WaterC'' Baseline'!$C$9:$R$257,10,FALSE))</f>
        <v>1.1499999999999999</v>
      </c>
      <c r="L29" s="382" t="str">
        <f>IF(B29="","",VLOOKUP($B29,'C-1 On-Site WaterC'' Baseline'!$C$9:$R$257,15,FALSE))</f>
        <v>Same habitat required =</v>
      </c>
      <c r="M29" s="386">
        <f>IF(L29="","",VLOOKUP($B29,'C-1 On-Site WaterC'' Baseline'!$C$9:$R$257,16,FALSE))</f>
        <v>1.2284978054087374</v>
      </c>
      <c r="N29" s="320" t="str">
        <f t="shared" si="0"/>
        <v>Ditches</v>
      </c>
      <c r="O29" s="362" t="str">
        <f t="shared" si="2"/>
        <v>Medium - Medium</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Poor - Poor</v>
      </c>
      <c r="Q29" s="425">
        <f>IF(N29="","",VLOOKUP(B29,'C-1 On-Site WaterC'' Baseline'!$C$10:$AB$257,19,FALSE))</f>
        <v>0.35608632040832972</v>
      </c>
      <c r="R29" s="362" t="str">
        <f>IF(N29="","",VLOOKUP(N29,'G-7 WaterC'' Data'!$B$2:$G$8,2,FALSE))</f>
        <v>Medium</v>
      </c>
      <c r="S29" s="363">
        <f>IFERROR(VLOOKUP(R29,'G-7 WaterC'' Data'!$C$4:$D$8,2,FALSE),"")</f>
        <v>4</v>
      </c>
      <c r="T29" s="114" t="s">
        <v>329</v>
      </c>
      <c r="U29" s="363">
        <f>IFERROR(INDEX('G-7 WaterC'' Data'!$H$4:$L$8,MATCH(N29,'G-7 WaterC'' Data'!$B$4:$B$8,0),MATCH(T29,'G-7 WaterC'' Data'!$H$3:$L$3,0)),"")</f>
        <v>1</v>
      </c>
      <c r="V29" s="114" t="s">
        <v>1029</v>
      </c>
      <c r="W29" s="370" t="str">
        <f>IF(V29="","",IF(VLOOKUP(V29,'G-7 WaterC'' Data'!$AK$4:$AM$6,2,FALSE)=0,"Spatial Data Missing ⚠",VLOOKUP(V29,'G-7 WaterC'' Data'!$AK$4:$AM$6,2,FALSE)))</f>
        <v xml:space="preserve">High strategic significance </v>
      </c>
      <c r="X29" s="363">
        <f>IF(V29="","",IF(VLOOKUP(V29,'G-7 WaterC'' Data'!$AK$4:$AM$6,3,FALSE)=0,"Spatial Data Missing ⚠",VLOOKUP(V29,'G-7 WaterC'' Data'!$AK$4:$AM$6,3,FALSE)))</f>
        <v>1.1499999999999999</v>
      </c>
      <c r="Y29" s="362">
        <f>IFERROR(IF(OR(LEFT(P29,5)="Error",LEFT(O29,5)="Error ▲"),"Check Data ⚠",IF(F29&lt;S29,'G-7 WaterC'' Data'!$R$3,INDEX('G-7 WaterC'' Data'!$U$5:$Y$9,MATCH(G29,'G-7 WaterC'' Data'!$T$5:$T$9,0),MATCH(T29,'G-7 WaterC'' Data'!$U$4:$Y$4,0)))),"")</f>
        <v>1</v>
      </c>
      <c r="Z29" s="159">
        <v>0</v>
      </c>
      <c r="AA29" s="159">
        <v>0</v>
      </c>
      <c r="AB29" s="370" t="str">
        <f t="shared" si="3"/>
        <v>Standard time to target condition applied</v>
      </c>
      <c r="AC29" s="383">
        <f t="shared" si="4"/>
        <v>1</v>
      </c>
      <c r="AD29" s="422">
        <f>IFERROR(IF(AC29="Check Data ⚠","Check Data ⚠",VLOOKUP(AC29,'G-4 Temporal multipliers'!$A$4:$C$37,3,FALSE)),"")</f>
        <v>0.96499999999999997</v>
      </c>
      <c r="AE29" s="362" t="str">
        <f>IF(N29="","",VLOOKUP(N29,'G-7 WaterC'' Data'!$B$4:$G$8,5,FALSE))</f>
        <v>Medium</v>
      </c>
      <c r="AF29" s="370" t="str">
        <f t="shared" si="5"/>
        <v>Standard difficulty applied</v>
      </c>
      <c r="AG29" s="401" t="str">
        <f t="shared" si="6"/>
        <v>Medium</v>
      </c>
      <c r="AH29" s="363">
        <f t="shared" si="1"/>
        <v>0.67</v>
      </c>
      <c r="AI29" s="122" t="s">
        <v>1126</v>
      </c>
      <c r="AJ29" s="363">
        <f>IF(AI29="","",IF(VLOOKUP(AI29,'G-7 WaterC'' Data'!$AA$4:$AB$7,2,FALSE)=0,"Spatial Data Missing ⚠",VLOOKUP(AI29,'G-7 WaterC'' Data'!$AA$4:$AB$7,2,FALSE)))</f>
        <v>1</v>
      </c>
      <c r="AK29" s="123" t="s">
        <v>1153</v>
      </c>
      <c r="AL29" s="363">
        <f>IF(AK29="","",IF(VLOOKUP(AK29,'G-7 WaterC'' Data'!$AD$4:$AE$14,2,FALSE)=0,"Spatial Data Missing ⚠",VLOOKUP(AK29,'G-7 WaterC'' Data'!$AD$4:$AE$14,2,FALSE)))</f>
        <v>1</v>
      </c>
      <c r="AM29" s="405">
        <f t="shared" si="7"/>
        <v>1.6379970738783165</v>
      </c>
      <c r="AN29" s="117"/>
      <c r="AO29" s="118"/>
      <c r="AP29" s="120" t="s">
        <v>2023</v>
      </c>
      <c r="AV29" s="30" t="str">
        <f>IFERROR(INDEX('G-7 WaterC'' Data'!$AZ$3:$AZ$7,MATCH(N29,'G-7 WaterC'' Data'!$AY$3:$AY$7,0)),"")</f>
        <v>Rivercond1</v>
      </c>
    </row>
    <row r="30" spans="2:48" ht="28.5" x14ac:dyDescent="0.2">
      <c r="B30" s="392">
        <f>'C-1 On-Site WaterC'' Baseline'!AO28</f>
        <v>23</v>
      </c>
      <c r="C30" s="382" t="str">
        <f>IF(B30="","",VLOOKUP($B30,'C-1 On-Site WaterC'' Baseline'!$C$9:$R$257,2,FALSE))</f>
        <v>Ditches</v>
      </c>
      <c r="D30" s="382">
        <f>IF(C30="","",VLOOKUP($B30,'C-1 On-Site WaterC'' Baseline'!$C$9:$R$257,3,FALSE))</f>
        <v>0.13953478767422964</v>
      </c>
      <c r="E30" s="382" t="str">
        <f>IF(D30="","",VLOOKUP($B30,'C-1 On-Site WaterC'' Baseline'!$C$9:$R$257,4,FALSE))</f>
        <v>Medium</v>
      </c>
      <c r="F30" s="382">
        <f>IF(E30="","",VLOOKUP($B30,'C-1 On-Site WaterC'' Baseline'!$C$9:$R$257,5,FALSE))</f>
        <v>4</v>
      </c>
      <c r="G30" s="382" t="str">
        <f>IF(F30="","",VLOOKUP($B30,'C-1 On-Site WaterC'' Baseline'!$C$9:$R$257,6,FALSE))</f>
        <v>Poor</v>
      </c>
      <c r="H30" s="382">
        <f>IF(G30="","",VLOOKUP($B30,'C-1 On-Site WaterC'' Baseline'!$C$9:$R$257,7,FALSE))</f>
        <v>1</v>
      </c>
      <c r="I30" s="382" t="str">
        <f>IF(H30="","",VLOOKUP($B30,'C-1 On-Site WaterC'' Baseline'!$C$9:$R$257,8,FALSE))</f>
        <v>Area/compensation not in local strategy/ no local strategy</v>
      </c>
      <c r="J30" s="382" t="str">
        <f>IF(I30="","",VLOOKUP($B30,'C-1 On-Site WaterC'' Baseline'!$C$9:$R$257,9,FALSE))</f>
        <v>Low Strategic Significance</v>
      </c>
      <c r="K30" s="382">
        <f>IF(J30="","",VLOOKUP($B30,'C-1 On-Site WaterC'' Baseline'!$C$9:$R$257,10,FALSE))</f>
        <v>1</v>
      </c>
      <c r="L30" s="382" t="str">
        <f>IF(B30="","",VLOOKUP($B30,'C-1 On-Site WaterC'' Baseline'!$C$9:$R$257,15,FALSE))</f>
        <v>Same habitat required =</v>
      </c>
      <c r="M30" s="386">
        <f>IF(L30="","",VLOOKUP($B30,'C-1 On-Site WaterC'' Baseline'!$C$9:$R$257,16,FALSE))</f>
        <v>0.41860436302268889</v>
      </c>
      <c r="N30" s="320" t="str">
        <f t="shared" si="0"/>
        <v>Ditches</v>
      </c>
      <c r="O30" s="362" t="str">
        <f t="shared" si="2"/>
        <v>Medium - Medium</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Poor - Poor</v>
      </c>
      <c r="Q30" s="425">
        <f>IF(N30="","",VLOOKUP(B30,'C-1 On-Site WaterC'' Baseline'!$C$10:$AB$257,19,FALSE))</f>
        <v>0.13953478767422964</v>
      </c>
      <c r="R30" s="362" t="str">
        <f>IF(N30="","",VLOOKUP(N30,'G-7 WaterC'' Data'!$B$2:$G$8,2,FALSE))</f>
        <v>Medium</v>
      </c>
      <c r="S30" s="363">
        <f>IFERROR(VLOOKUP(R30,'G-7 WaterC'' Data'!$C$4:$D$8,2,FALSE),"")</f>
        <v>4</v>
      </c>
      <c r="T30" s="114" t="s">
        <v>329</v>
      </c>
      <c r="U30" s="363">
        <f>IFERROR(INDEX('G-7 WaterC'' Data'!$H$4:$L$8,MATCH(N30,'G-7 WaterC'' Data'!$B$4:$B$8,0),MATCH(T30,'G-7 WaterC'' Data'!$H$3:$L$3,0)),"")</f>
        <v>1</v>
      </c>
      <c r="V30" s="114" t="s">
        <v>1037</v>
      </c>
      <c r="W30" s="370" t="str">
        <f>IF(V30="","",IF(VLOOKUP(V30,'G-7 WaterC'' Data'!$AK$4:$AM$6,2,FALSE)=0,"Spatial Data Missing ⚠",VLOOKUP(V30,'G-7 WaterC'' Data'!$AK$4:$AM$6,2,FALSE)))</f>
        <v>Low Strategic Significance</v>
      </c>
      <c r="X30" s="363">
        <f>IF(V30="","",IF(VLOOKUP(V30,'G-7 WaterC'' Data'!$AK$4:$AM$6,3,FALSE)=0,"Spatial Data Missing ⚠",VLOOKUP(V30,'G-7 WaterC'' Data'!$AK$4:$AM$6,3,FALSE)))</f>
        <v>1</v>
      </c>
      <c r="Y30" s="362">
        <f>IFERROR(IF(OR(LEFT(P30,5)="Error",LEFT(O30,5)="Error ▲"),"Check Data ⚠",IF(F30&lt;S30,'G-7 WaterC'' Data'!$R$3,INDEX('G-7 WaterC'' Data'!$U$5:$Y$9,MATCH(G30,'G-7 WaterC'' Data'!$T$5:$T$9,0),MATCH(T30,'G-7 WaterC'' Data'!$U$4:$Y$4,0)))),"")</f>
        <v>1</v>
      </c>
      <c r="Z30" s="159">
        <v>0</v>
      </c>
      <c r="AA30" s="159">
        <v>0</v>
      </c>
      <c r="AB30" s="370" t="str">
        <f t="shared" si="3"/>
        <v>Standard time to target condition applied</v>
      </c>
      <c r="AC30" s="383">
        <f t="shared" si="4"/>
        <v>1</v>
      </c>
      <c r="AD30" s="422">
        <f>IFERROR(IF(AC30="Check Data ⚠","Check Data ⚠",VLOOKUP(AC30,'G-4 Temporal multipliers'!$A$4:$C$37,3,FALSE)),"")</f>
        <v>0.96499999999999997</v>
      </c>
      <c r="AE30" s="362" t="str">
        <f>IF(N30="","",VLOOKUP(N30,'G-7 WaterC'' Data'!$B$4:$G$8,5,FALSE))</f>
        <v>Medium</v>
      </c>
      <c r="AF30" s="370" t="str">
        <f t="shared" si="5"/>
        <v>Standard difficulty applied</v>
      </c>
      <c r="AG30" s="401" t="str">
        <f t="shared" si="6"/>
        <v>Medium</v>
      </c>
      <c r="AH30" s="363">
        <f t="shared" si="1"/>
        <v>0.67</v>
      </c>
      <c r="AI30" s="122" t="s">
        <v>1126</v>
      </c>
      <c r="AJ30" s="363">
        <f>IF(AI30="","",IF(VLOOKUP(AI30,'G-7 WaterC'' Data'!$AA$4:$AB$7,2,FALSE)=0,"Spatial Data Missing ⚠",VLOOKUP(AI30,'G-7 WaterC'' Data'!$AA$4:$AB$7,2,FALSE)))</f>
        <v>1</v>
      </c>
      <c r="AK30" s="123" t="s">
        <v>1142</v>
      </c>
      <c r="AL30" s="363">
        <f>IF(AK30="","",IF(VLOOKUP(AK30,'G-7 WaterC'' Data'!$AD$4:$AE$14,2,FALSE)=0,"Spatial Data Missing ⚠",VLOOKUP(AK30,'G-7 WaterC'' Data'!$AD$4:$AE$14,2,FALSE)))</f>
        <v>0.87</v>
      </c>
      <c r="AM30" s="405">
        <f t="shared" si="7"/>
        <v>0.48558106110631916</v>
      </c>
      <c r="AN30" s="117"/>
      <c r="AO30" s="118"/>
      <c r="AP30" s="120" t="s">
        <v>2024</v>
      </c>
      <c r="AV30" s="30" t="str">
        <f>IFERROR(INDEX('G-7 WaterC'' Data'!$AZ$3:$AZ$7,MATCH(N30,'G-7 WaterC'' Data'!$AY$3:$AY$7,0)),"")</f>
        <v>Rivercond1</v>
      </c>
    </row>
    <row r="31" spans="2:48" ht="28.5" x14ac:dyDescent="0.2">
      <c r="B31" s="392">
        <f>'C-1 On-Site WaterC'' Baseline'!AO29</f>
        <v>24</v>
      </c>
      <c r="C31" s="382" t="str">
        <f>IF(B31="","",VLOOKUP($B31,'C-1 On-Site WaterC'' Baseline'!$C$9:$R$257,2,FALSE))</f>
        <v>Ditches</v>
      </c>
      <c r="D31" s="382">
        <f>IF(C31="","",VLOOKUP($B31,'C-1 On-Site WaterC'' Baseline'!$C$9:$R$257,3,FALSE))</f>
        <v>0.56828722188651559</v>
      </c>
      <c r="E31" s="382" t="str">
        <f>IF(D31="","",VLOOKUP($B31,'C-1 On-Site WaterC'' Baseline'!$C$9:$R$257,4,FALSE))</f>
        <v>Medium</v>
      </c>
      <c r="F31" s="382">
        <f>IF(E31="","",VLOOKUP($B31,'C-1 On-Site WaterC'' Baseline'!$C$9:$R$257,5,FALSE))</f>
        <v>4</v>
      </c>
      <c r="G31" s="382" t="str">
        <f>IF(F31="","",VLOOKUP($B31,'C-1 On-Site WaterC'' Baseline'!$C$9:$R$257,6,FALSE))</f>
        <v>Poor</v>
      </c>
      <c r="H31" s="382">
        <f>IF(G31="","",VLOOKUP($B31,'C-1 On-Site WaterC'' Baseline'!$C$9:$R$257,7,FALSE))</f>
        <v>1</v>
      </c>
      <c r="I31" s="382" t="str">
        <f>IF(H31="","",VLOOKUP($B31,'C-1 On-Site WaterC'' Baseline'!$C$9:$R$257,8,FALSE))</f>
        <v>Formally identified in local strategy</v>
      </c>
      <c r="J31" s="382" t="str">
        <f>IF(I31="","",VLOOKUP($B31,'C-1 On-Site WaterC'' Baseline'!$C$9:$R$257,9,FALSE))</f>
        <v xml:space="preserve">High strategic significance </v>
      </c>
      <c r="K31" s="382">
        <f>IF(J31="","",VLOOKUP($B31,'C-1 On-Site WaterC'' Baseline'!$C$9:$R$257,10,FALSE))</f>
        <v>1.1499999999999999</v>
      </c>
      <c r="L31" s="382" t="str">
        <f>IF(B31="","",VLOOKUP($B31,'C-1 On-Site WaterC'' Baseline'!$C$9:$R$257,15,FALSE))</f>
        <v>Same habitat required =</v>
      </c>
      <c r="M31" s="386">
        <f>IF(L31="","",VLOOKUP($B31,'C-1 On-Site WaterC'' Baseline'!$C$9:$R$257,16,FALSE))</f>
        <v>1.9605909155084786</v>
      </c>
      <c r="N31" s="320" t="str">
        <f t="shared" si="0"/>
        <v>Ditches</v>
      </c>
      <c r="O31" s="362" t="str">
        <f t="shared" si="2"/>
        <v>Medium - Medium</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Poor - Poor</v>
      </c>
      <c r="Q31" s="425">
        <f>IF(N31="","",VLOOKUP(B31,'C-1 On-Site WaterC'' Baseline'!$C$10:$AB$257,19,FALSE))</f>
        <v>0.56828722188651559</v>
      </c>
      <c r="R31" s="362" t="str">
        <f>IF(N31="","",VLOOKUP(N31,'G-7 WaterC'' Data'!$B$2:$G$8,2,FALSE))</f>
        <v>Medium</v>
      </c>
      <c r="S31" s="363">
        <f>IFERROR(VLOOKUP(R31,'G-7 WaterC'' Data'!$C$4:$D$8,2,FALSE),"")</f>
        <v>4</v>
      </c>
      <c r="T31" s="114" t="s">
        <v>329</v>
      </c>
      <c r="U31" s="363">
        <f>IFERROR(INDEX('G-7 WaterC'' Data'!$H$4:$L$8,MATCH(N31,'G-7 WaterC'' Data'!$B$4:$B$8,0),MATCH(T31,'G-7 WaterC'' Data'!$H$3:$L$3,0)),"")</f>
        <v>1</v>
      </c>
      <c r="V31" s="114" t="s">
        <v>1029</v>
      </c>
      <c r="W31" s="370" t="str">
        <f>IF(V31="","",IF(VLOOKUP(V31,'G-7 WaterC'' Data'!$AK$4:$AM$6,2,FALSE)=0,"Spatial Data Missing ⚠",VLOOKUP(V31,'G-7 WaterC'' Data'!$AK$4:$AM$6,2,FALSE)))</f>
        <v xml:space="preserve">High strategic significance </v>
      </c>
      <c r="X31" s="363">
        <f>IF(V31="","",IF(VLOOKUP(V31,'G-7 WaterC'' Data'!$AK$4:$AM$6,3,FALSE)=0,"Spatial Data Missing ⚠",VLOOKUP(V31,'G-7 WaterC'' Data'!$AK$4:$AM$6,3,FALSE)))</f>
        <v>1.1499999999999999</v>
      </c>
      <c r="Y31" s="362">
        <f>IFERROR(IF(OR(LEFT(P31,5)="Error",LEFT(O31,5)="Error ▲"),"Check Data ⚠",IF(F31&lt;S31,'G-7 WaterC'' Data'!$R$3,INDEX('G-7 WaterC'' Data'!$U$5:$Y$9,MATCH(G31,'G-7 WaterC'' Data'!$T$5:$T$9,0),MATCH(T31,'G-7 WaterC'' Data'!$U$4:$Y$4,0)))),"")</f>
        <v>1</v>
      </c>
      <c r="Z31" s="159">
        <v>0</v>
      </c>
      <c r="AA31" s="159">
        <v>0</v>
      </c>
      <c r="AB31" s="370" t="str">
        <f t="shared" si="3"/>
        <v>Standard time to target condition applied</v>
      </c>
      <c r="AC31" s="383">
        <f t="shared" si="4"/>
        <v>1</v>
      </c>
      <c r="AD31" s="422">
        <f>IFERROR(IF(AC31="Check Data ⚠","Check Data ⚠",VLOOKUP(AC31,'G-4 Temporal multipliers'!$A$4:$C$37,3,FALSE)),"")</f>
        <v>0.96499999999999997</v>
      </c>
      <c r="AE31" s="362" t="str">
        <f>IF(N31="","",VLOOKUP(N31,'G-7 WaterC'' Data'!$B$4:$G$8,5,FALSE))</f>
        <v>Medium</v>
      </c>
      <c r="AF31" s="370" t="str">
        <f t="shared" si="5"/>
        <v>Standard difficulty applied</v>
      </c>
      <c r="AG31" s="401" t="str">
        <f t="shared" si="6"/>
        <v>Medium</v>
      </c>
      <c r="AH31" s="363">
        <f t="shared" si="1"/>
        <v>0.67</v>
      </c>
      <c r="AI31" s="122" t="s">
        <v>1126</v>
      </c>
      <c r="AJ31" s="363">
        <f>IF(AI31="","",IF(VLOOKUP(AI31,'G-7 WaterC'' Data'!$AA$4:$AB$7,2,FALSE)=0,"Spatial Data Missing ⚠",VLOOKUP(AI31,'G-7 WaterC'' Data'!$AA$4:$AB$7,2,FALSE)))</f>
        <v>1</v>
      </c>
      <c r="AK31" s="123" t="s">
        <v>1142</v>
      </c>
      <c r="AL31" s="363">
        <f>IF(AK31="","",IF(VLOOKUP(AK31,'G-7 WaterC'' Data'!$AD$4:$AE$14,2,FALSE)=0,"Spatial Data Missing ⚠",VLOOKUP(AK31,'G-7 WaterC'' Data'!$AD$4:$AE$14,2,FALSE)))</f>
        <v>0.87</v>
      </c>
      <c r="AM31" s="405">
        <f t="shared" si="7"/>
        <v>2.2742854619898352</v>
      </c>
      <c r="AN31" s="117"/>
      <c r="AO31" s="118"/>
      <c r="AP31" s="120" t="s">
        <v>2025</v>
      </c>
      <c r="AV31" s="30" t="str">
        <f>IFERROR(INDEX('G-7 WaterC'' Data'!$AZ$3:$AZ$7,MATCH(N31,'G-7 WaterC'' Data'!$AY$3:$AY$7,0)),"")</f>
        <v>Rivercond1</v>
      </c>
    </row>
    <row r="32" spans="2:48" ht="28.5" x14ac:dyDescent="0.2">
      <c r="B32" s="392">
        <f>'C-1 On-Site WaterC'' Baseline'!AO30</f>
        <v>25</v>
      </c>
      <c r="C32" s="382" t="str">
        <f>IF(B32="","",VLOOKUP($B32,'C-1 On-Site WaterC'' Baseline'!$C$9:$R$257,2,FALSE))</f>
        <v>Ditches</v>
      </c>
      <c r="D32" s="382">
        <f>IF(C32="","",VLOOKUP($B32,'C-1 On-Site WaterC'' Baseline'!$C$9:$R$257,3,FALSE))</f>
        <v>9.5102960030260142E-2</v>
      </c>
      <c r="E32" s="382" t="str">
        <f>IF(D32="","",VLOOKUP($B32,'C-1 On-Site WaterC'' Baseline'!$C$9:$R$257,4,FALSE))</f>
        <v>Medium</v>
      </c>
      <c r="F32" s="382">
        <f>IF(E32="","",VLOOKUP($B32,'C-1 On-Site WaterC'' Baseline'!$C$9:$R$257,5,FALSE))</f>
        <v>4</v>
      </c>
      <c r="G32" s="382" t="str">
        <f>IF(F32="","",VLOOKUP($B32,'C-1 On-Site WaterC'' Baseline'!$C$9:$R$257,6,FALSE))</f>
        <v>Poor</v>
      </c>
      <c r="H32" s="382">
        <f>IF(G32="","",VLOOKUP($B32,'C-1 On-Site WaterC'' Baseline'!$C$9:$R$257,7,FALSE))</f>
        <v>1</v>
      </c>
      <c r="I32" s="382" t="str">
        <f>IF(H32="","",VLOOKUP($B32,'C-1 On-Site WaterC'' Baseline'!$C$9:$R$257,8,FALSE))</f>
        <v>Area/compensation not in local strategy/ no local strategy</v>
      </c>
      <c r="J32" s="382" t="str">
        <f>IF(I32="","",VLOOKUP($B32,'C-1 On-Site WaterC'' Baseline'!$C$9:$R$257,9,FALSE))</f>
        <v>Low Strategic Significance</v>
      </c>
      <c r="K32" s="382">
        <f>IF(J32="","",VLOOKUP($B32,'C-1 On-Site WaterC'' Baseline'!$C$9:$R$257,10,FALSE))</f>
        <v>1</v>
      </c>
      <c r="L32" s="382" t="str">
        <f>IF(B32="","",VLOOKUP($B32,'C-1 On-Site WaterC'' Baseline'!$C$9:$R$257,15,FALSE))</f>
        <v>Same habitat required =</v>
      </c>
      <c r="M32" s="386">
        <f>IF(L32="","",VLOOKUP($B32,'C-1 On-Site WaterC'' Baseline'!$C$9:$R$257,16,FALSE))</f>
        <v>0.28530888009078043</v>
      </c>
      <c r="N32" s="320" t="str">
        <f t="shared" si="0"/>
        <v>Ditches</v>
      </c>
      <c r="O32" s="362" t="str">
        <f t="shared" si="2"/>
        <v>Medium - Medium</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Poor - Poor</v>
      </c>
      <c r="Q32" s="425">
        <f>IF(N32="","",VLOOKUP(B32,'C-1 On-Site WaterC'' Baseline'!$C$10:$AB$257,19,FALSE))</f>
        <v>9.5102960030260142E-2</v>
      </c>
      <c r="R32" s="362" t="str">
        <f>IF(N32="","",VLOOKUP(N32,'G-7 WaterC'' Data'!$B$2:$G$8,2,FALSE))</f>
        <v>Medium</v>
      </c>
      <c r="S32" s="363">
        <f>IFERROR(VLOOKUP(R32,'G-7 WaterC'' Data'!$C$4:$D$8,2,FALSE),"")</f>
        <v>4</v>
      </c>
      <c r="T32" s="114" t="s">
        <v>329</v>
      </c>
      <c r="U32" s="363">
        <f>IFERROR(INDEX('G-7 WaterC'' Data'!$H$4:$L$8,MATCH(N32,'G-7 WaterC'' Data'!$B$4:$B$8,0),MATCH(T32,'G-7 WaterC'' Data'!$H$3:$L$3,0)),"")</f>
        <v>1</v>
      </c>
      <c r="V32" s="114" t="s">
        <v>1037</v>
      </c>
      <c r="W32" s="370" t="str">
        <f>IF(V32="","",IF(VLOOKUP(V32,'G-7 WaterC'' Data'!$AK$4:$AM$6,2,FALSE)=0,"Spatial Data Missing ⚠",VLOOKUP(V32,'G-7 WaterC'' Data'!$AK$4:$AM$6,2,FALSE)))</f>
        <v>Low Strategic Significance</v>
      </c>
      <c r="X32" s="363">
        <f>IF(V32="","",IF(VLOOKUP(V32,'G-7 WaterC'' Data'!$AK$4:$AM$6,3,FALSE)=0,"Spatial Data Missing ⚠",VLOOKUP(V32,'G-7 WaterC'' Data'!$AK$4:$AM$6,3,FALSE)))</f>
        <v>1</v>
      </c>
      <c r="Y32" s="362">
        <f>IFERROR(IF(OR(LEFT(P32,5)="Error",LEFT(O32,5)="Error ▲"),"Check Data ⚠",IF(F32&lt;S32,'G-7 WaterC'' Data'!$R$3,INDEX('G-7 WaterC'' Data'!$U$5:$Y$9,MATCH(G32,'G-7 WaterC'' Data'!$T$5:$T$9,0),MATCH(T32,'G-7 WaterC'' Data'!$U$4:$Y$4,0)))),"")</f>
        <v>1</v>
      </c>
      <c r="Z32" s="159">
        <v>0</v>
      </c>
      <c r="AA32" s="159">
        <v>0</v>
      </c>
      <c r="AB32" s="370" t="str">
        <f t="shared" si="3"/>
        <v>Standard time to target condition applied</v>
      </c>
      <c r="AC32" s="383">
        <f t="shared" si="4"/>
        <v>1</v>
      </c>
      <c r="AD32" s="422">
        <f>IFERROR(IF(AC32="Check Data ⚠","Check Data ⚠",VLOOKUP(AC32,'G-4 Temporal multipliers'!$A$4:$C$37,3,FALSE)),"")</f>
        <v>0.96499999999999997</v>
      </c>
      <c r="AE32" s="362" t="str">
        <f>IF(N32="","",VLOOKUP(N32,'G-7 WaterC'' Data'!$B$4:$G$8,5,FALSE))</f>
        <v>Medium</v>
      </c>
      <c r="AF32" s="370" t="str">
        <f t="shared" si="5"/>
        <v>Standard difficulty applied</v>
      </c>
      <c r="AG32" s="401" t="str">
        <f t="shared" si="6"/>
        <v>Medium</v>
      </c>
      <c r="AH32" s="363">
        <f t="shared" si="1"/>
        <v>0.67</v>
      </c>
      <c r="AI32" s="122" t="s">
        <v>1126</v>
      </c>
      <c r="AJ32" s="363">
        <f>IF(AI32="","",IF(VLOOKUP(AI32,'G-7 WaterC'' Data'!$AA$4:$AB$7,2,FALSE)=0,"Spatial Data Missing ⚠",VLOOKUP(AI32,'G-7 WaterC'' Data'!$AA$4:$AB$7,2,FALSE)))</f>
        <v>1</v>
      </c>
      <c r="AK32" s="123" t="s">
        <v>1142</v>
      </c>
      <c r="AL32" s="363">
        <f>IF(AK32="","",IF(VLOOKUP(AK32,'G-7 WaterC'' Data'!$AD$4:$AE$14,2,FALSE)=0,"Spatial Data Missing ⚠",VLOOKUP(AK32,'G-7 WaterC'' Data'!$AD$4:$AE$14,2,FALSE)))</f>
        <v>0.87</v>
      </c>
      <c r="AM32" s="405">
        <f t="shared" si="7"/>
        <v>0.33095830090530531</v>
      </c>
      <c r="AN32" s="117"/>
      <c r="AO32" s="118"/>
      <c r="AP32" s="120" t="s">
        <v>2026</v>
      </c>
      <c r="AV32" s="30" t="str">
        <f>IFERROR(INDEX('G-7 WaterC'' Data'!$AZ$3:$AZ$7,MATCH(N32,'G-7 WaterC'' Data'!$AY$3:$AY$7,0)),"")</f>
        <v>Rivercond1</v>
      </c>
    </row>
    <row r="33" spans="2:48" ht="28.5" x14ac:dyDescent="0.2">
      <c r="B33" s="392">
        <f>'C-1 On-Site WaterC'' Baseline'!AO31</f>
        <v>26</v>
      </c>
      <c r="C33" s="382" t="str">
        <f>IF(B33="","",VLOOKUP($B33,'C-1 On-Site WaterC'' Baseline'!$C$9:$R$257,2,FALSE))</f>
        <v>Ditches</v>
      </c>
      <c r="D33" s="382">
        <f>IF(C33="","",VLOOKUP($B33,'C-1 On-Site WaterC'' Baseline'!$C$9:$R$257,3,FALSE))</f>
        <v>0.10865862462337431</v>
      </c>
      <c r="E33" s="382" t="str">
        <f>IF(D33="","",VLOOKUP($B33,'C-1 On-Site WaterC'' Baseline'!$C$9:$R$257,4,FALSE))</f>
        <v>Medium</v>
      </c>
      <c r="F33" s="382">
        <f>IF(E33="","",VLOOKUP($B33,'C-1 On-Site WaterC'' Baseline'!$C$9:$R$257,5,FALSE))</f>
        <v>4</v>
      </c>
      <c r="G33" s="382" t="str">
        <f>IF(F33="","",VLOOKUP($B33,'C-1 On-Site WaterC'' Baseline'!$C$9:$R$257,6,FALSE))</f>
        <v>Poor</v>
      </c>
      <c r="H33" s="382">
        <f>IF(G33="","",VLOOKUP($B33,'C-1 On-Site WaterC'' Baseline'!$C$9:$R$257,7,FALSE))</f>
        <v>1</v>
      </c>
      <c r="I33" s="382" t="str">
        <f>IF(H33="","",VLOOKUP($B33,'C-1 On-Site WaterC'' Baseline'!$C$9:$R$257,8,FALSE))</f>
        <v>Area/compensation not in local strategy/ no local strategy</v>
      </c>
      <c r="J33" s="382" t="str">
        <f>IF(I33="","",VLOOKUP($B33,'C-1 On-Site WaterC'' Baseline'!$C$9:$R$257,9,FALSE))</f>
        <v>Low Strategic Significance</v>
      </c>
      <c r="K33" s="382">
        <f>IF(J33="","",VLOOKUP($B33,'C-1 On-Site WaterC'' Baseline'!$C$9:$R$257,10,FALSE))</f>
        <v>1</v>
      </c>
      <c r="L33" s="382" t="str">
        <f>IF(B33="","",VLOOKUP($B33,'C-1 On-Site WaterC'' Baseline'!$C$9:$R$257,15,FALSE))</f>
        <v>Same habitat required =</v>
      </c>
      <c r="M33" s="386">
        <f>IF(L33="","",VLOOKUP($B33,'C-1 On-Site WaterC'' Baseline'!$C$9:$R$257,16,FALSE))</f>
        <v>0.32597587387012295</v>
      </c>
      <c r="N33" s="320" t="str">
        <f t="shared" si="0"/>
        <v>Ditches</v>
      </c>
      <c r="O33" s="362" t="str">
        <f t="shared" si="2"/>
        <v>Medium - Medium</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Poor - Poor</v>
      </c>
      <c r="Q33" s="425">
        <f>IF(N33="","",VLOOKUP(B33,'C-1 On-Site WaterC'' Baseline'!$C$10:$AB$257,19,FALSE))</f>
        <v>0.10865862462337431</v>
      </c>
      <c r="R33" s="362" t="str">
        <f>IF(N33="","",VLOOKUP(N33,'G-7 WaterC'' Data'!$B$2:$G$8,2,FALSE))</f>
        <v>Medium</v>
      </c>
      <c r="S33" s="363">
        <f>IFERROR(VLOOKUP(R33,'G-7 WaterC'' Data'!$C$4:$D$8,2,FALSE),"")</f>
        <v>4</v>
      </c>
      <c r="T33" s="114" t="s">
        <v>329</v>
      </c>
      <c r="U33" s="363">
        <f>IFERROR(INDEX('G-7 WaterC'' Data'!$H$4:$L$8,MATCH(N33,'G-7 WaterC'' Data'!$B$4:$B$8,0),MATCH(T33,'G-7 WaterC'' Data'!$H$3:$L$3,0)),"")</f>
        <v>1</v>
      </c>
      <c r="V33" s="114" t="s">
        <v>1037</v>
      </c>
      <c r="W33" s="370" t="str">
        <f>IF(V33="","",IF(VLOOKUP(V33,'G-7 WaterC'' Data'!$AK$4:$AM$6,2,FALSE)=0,"Spatial Data Missing ⚠",VLOOKUP(V33,'G-7 WaterC'' Data'!$AK$4:$AM$6,2,FALSE)))</f>
        <v>Low Strategic Significance</v>
      </c>
      <c r="X33" s="363">
        <f>IF(V33="","",IF(VLOOKUP(V33,'G-7 WaterC'' Data'!$AK$4:$AM$6,3,FALSE)=0,"Spatial Data Missing ⚠",VLOOKUP(V33,'G-7 WaterC'' Data'!$AK$4:$AM$6,3,FALSE)))</f>
        <v>1</v>
      </c>
      <c r="Y33" s="362">
        <f>IFERROR(IF(OR(LEFT(P33,5)="Error",LEFT(O33,5)="Error ▲"),"Check Data ⚠",IF(F33&lt;S33,'G-7 WaterC'' Data'!$R$3,INDEX('G-7 WaterC'' Data'!$U$5:$Y$9,MATCH(G33,'G-7 WaterC'' Data'!$T$5:$T$9,0),MATCH(T33,'G-7 WaterC'' Data'!$U$4:$Y$4,0)))),"")</f>
        <v>1</v>
      </c>
      <c r="Z33" s="159">
        <v>0</v>
      </c>
      <c r="AA33" s="159">
        <v>0</v>
      </c>
      <c r="AB33" s="370" t="str">
        <f t="shared" si="3"/>
        <v>Standard time to target condition applied</v>
      </c>
      <c r="AC33" s="383">
        <f t="shared" si="4"/>
        <v>1</v>
      </c>
      <c r="AD33" s="422">
        <f>IFERROR(IF(AC33="Check Data ⚠","Check Data ⚠",VLOOKUP(AC33,'G-4 Temporal multipliers'!$A$4:$C$37,3,FALSE)),"")</f>
        <v>0.96499999999999997</v>
      </c>
      <c r="AE33" s="362" t="str">
        <f>IF(N33="","",VLOOKUP(N33,'G-7 WaterC'' Data'!$B$4:$G$8,5,FALSE))</f>
        <v>Medium</v>
      </c>
      <c r="AF33" s="370" t="str">
        <f t="shared" si="5"/>
        <v>Standard difficulty applied</v>
      </c>
      <c r="AG33" s="401" t="str">
        <f t="shared" si="6"/>
        <v>Medium</v>
      </c>
      <c r="AH33" s="363">
        <f t="shared" si="1"/>
        <v>0.67</v>
      </c>
      <c r="AI33" s="122" t="s">
        <v>1126</v>
      </c>
      <c r="AJ33" s="363">
        <f>IF(AI33="","",IF(VLOOKUP(AI33,'G-7 WaterC'' Data'!$AA$4:$AB$7,2,FALSE)=0,"Spatial Data Missing ⚠",VLOOKUP(AI33,'G-7 WaterC'' Data'!$AA$4:$AB$7,2,FALSE)))</f>
        <v>1</v>
      </c>
      <c r="AK33" s="123" t="s">
        <v>1153</v>
      </c>
      <c r="AL33" s="363">
        <f>IF(AK33="","",IF(VLOOKUP(AK33,'G-7 WaterC'' Data'!$AD$4:$AE$14,2,FALSE)=0,"Spatial Data Missing ⚠",VLOOKUP(AK33,'G-7 WaterC'' Data'!$AD$4:$AE$14,2,FALSE)))</f>
        <v>1</v>
      </c>
      <c r="AM33" s="405">
        <f t="shared" si="7"/>
        <v>0.43463449849349722</v>
      </c>
      <c r="AN33" s="117"/>
      <c r="AO33" s="118"/>
      <c r="AP33" s="120" t="s">
        <v>2027</v>
      </c>
      <c r="AV33" s="30" t="str">
        <f>IFERROR(INDEX('G-7 WaterC'' Data'!$AZ$3:$AZ$7,MATCH(N33,'G-7 WaterC'' Data'!$AY$3:$AY$7,0)),"")</f>
        <v>Rivercond1</v>
      </c>
    </row>
    <row r="34" spans="2:48" ht="28.5" x14ac:dyDescent="0.2">
      <c r="B34" s="392">
        <f>'C-1 On-Site WaterC'' Baseline'!AO32</f>
        <v>27</v>
      </c>
      <c r="C34" s="382" t="str">
        <f>IF(B34="","",VLOOKUP($B34,'C-1 On-Site WaterC'' Baseline'!$C$9:$R$257,2,FALSE))</f>
        <v>Ditches</v>
      </c>
      <c r="D34" s="382">
        <f>IF(C34="","",VLOOKUP($B34,'C-1 On-Site WaterC'' Baseline'!$C$9:$R$257,3,FALSE))</f>
        <v>1.1806322674849641</v>
      </c>
      <c r="E34" s="382" t="str">
        <f>IF(D34="","",VLOOKUP($B34,'C-1 On-Site WaterC'' Baseline'!$C$9:$R$257,4,FALSE))</f>
        <v>Medium</v>
      </c>
      <c r="F34" s="382">
        <f>IF(E34="","",VLOOKUP($B34,'C-1 On-Site WaterC'' Baseline'!$C$9:$R$257,5,FALSE))</f>
        <v>4</v>
      </c>
      <c r="G34" s="382" t="str">
        <f>IF(F34="","",VLOOKUP($B34,'C-1 On-Site WaterC'' Baseline'!$C$9:$R$257,6,FALSE))</f>
        <v>Poor</v>
      </c>
      <c r="H34" s="382">
        <f>IF(G34="","",VLOOKUP($B34,'C-1 On-Site WaterC'' Baseline'!$C$9:$R$257,7,FALSE))</f>
        <v>1</v>
      </c>
      <c r="I34" s="382" t="str">
        <f>IF(H34="","",VLOOKUP($B34,'C-1 On-Site WaterC'' Baseline'!$C$9:$R$257,8,FALSE))</f>
        <v>Area/compensation not in local strategy/ no local strategy</v>
      </c>
      <c r="J34" s="382" t="str">
        <f>IF(I34="","",VLOOKUP($B34,'C-1 On-Site WaterC'' Baseline'!$C$9:$R$257,9,FALSE))</f>
        <v>Low Strategic Significance</v>
      </c>
      <c r="K34" s="382">
        <f>IF(J34="","",VLOOKUP($B34,'C-1 On-Site WaterC'' Baseline'!$C$9:$R$257,10,FALSE))</f>
        <v>1</v>
      </c>
      <c r="L34" s="382" t="str">
        <f>IF(B34="","",VLOOKUP($B34,'C-1 On-Site WaterC'' Baseline'!$C$9:$R$257,15,FALSE))</f>
        <v>Same habitat required =</v>
      </c>
      <c r="M34" s="386">
        <f>IF(L34="","",VLOOKUP($B34,'C-1 On-Site WaterC'' Baseline'!$C$9:$R$257,16,FALSE))</f>
        <v>3.5418968024548922</v>
      </c>
      <c r="N34" s="320" t="str">
        <f t="shared" si="0"/>
        <v>Ditches</v>
      </c>
      <c r="O34" s="362" t="str">
        <f t="shared" si="2"/>
        <v>Medium - Medium</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Poor - Poor</v>
      </c>
      <c r="Q34" s="425">
        <f>IF(N34="","",VLOOKUP(B34,'C-1 On-Site WaterC'' Baseline'!$C$10:$AB$257,19,FALSE))</f>
        <v>1.1806322674849641</v>
      </c>
      <c r="R34" s="362" t="str">
        <f>IF(N34="","",VLOOKUP(N34,'G-7 WaterC'' Data'!$B$2:$G$8,2,FALSE))</f>
        <v>Medium</v>
      </c>
      <c r="S34" s="363">
        <f>IFERROR(VLOOKUP(R34,'G-7 WaterC'' Data'!$C$4:$D$8,2,FALSE),"")</f>
        <v>4</v>
      </c>
      <c r="T34" s="114" t="s">
        <v>329</v>
      </c>
      <c r="U34" s="363">
        <f>IFERROR(INDEX('G-7 WaterC'' Data'!$H$4:$L$8,MATCH(N34,'G-7 WaterC'' Data'!$B$4:$B$8,0),MATCH(T34,'G-7 WaterC'' Data'!$H$3:$L$3,0)),"")</f>
        <v>1</v>
      </c>
      <c r="V34" s="114" t="s">
        <v>1037</v>
      </c>
      <c r="W34" s="370" t="str">
        <f>IF(V34="","",IF(VLOOKUP(V34,'G-7 WaterC'' Data'!$AK$4:$AM$6,2,FALSE)=0,"Spatial Data Missing ⚠",VLOOKUP(V34,'G-7 WaterC'' Data'!$AK$4:$AM$6,2,FALSE)))</f>
        <v>Low Strategic Significance</v>
      </c>
      <c r="X34" s="363">
        <f>IF(V34="","",IF(VLOOKUP(V34,'G-7 WaterC'' Data'!$AK$4:$AM$6,3,FALSE)=0,"Spatial Data Missing ⚠",VLOOKUP(V34,'G-7 WaterC'' Data'!$AK$4:$AM$6,3,FALSE)))</f>
        <v>1</v>
      </c>
      <c r="Y34" s="362">
        <f>IFERROR(IF(OR(LEFT(P34,5)="Error",LEFT(O34,5)="Error ▲"),"Check Data ⚠",IF(F34&lt;S34,'G-7 WaterC'' Data'!$R$3,INDEX('G-7 WaterC'' Data'!$U$5:$Y$9,MATCH(G34,'G-7 WaterC'' Data'!$T$5:$T$9,0),MATCH(T34,'G-7 WaterC'' Data'!$U$4:$Y$4,0)))),"")</f>
        <v>1</v>
      </c>
      <c r="Z34" s="159">
        <v>0</v>
      </c>
      <c r="AA34" s="159">
        <v>0</v>
      </c>
      <c r="AB34" s="370" t="str">
        <f t="shared" si="3"/>
        <v>Standard time to target condition applied</v>
      </c>
      <c r="AC34" s="383">
        <f t="shared" si="4"/>
        <v>1</v>
      </c>
      <c r="AD34" s="422">
        <f>IFERROR(IF(AC34="Check Data ⚠","Check Data ⚠",VLOOKUP(AC34,'G-4 Temporal multipliers'!$A$4:$C$37,3,FALSE)),"")</f>
        <v>0.96499999999999997</v>
      </c>
      <c r="AE34" s="362" t="str">
        <f>IF(N34="","",VLOOKUP(N34,'G-7 WaterC'' Data'!$B$4:$G$8,5,FALSE))</f>
        <v>Medium</v>
      </c>
      <c r="AF34" s="370" t="str">
        <f t="shared" si="5"/>
        <v>Standard difficulty applied</v>
      </c>
      <c r="AG34" s="401" t="str">
        <f t="shared" si="6"/>
        <v>Medium</v>
      </c>
      <c r="AH34" s="363">
        <f t="shared" si="1"/>
        <v>0.67</v>
      </c>
      <c r="AI34" s="122" t="s">
        <v>1126</v>
      </c>
      <c r="AJ34" s="363">
        <f>IF(AI34="","",IF(VLOOKUP(AI34,'G-7 WaterC'' Data'!$AA$4:$AB$7,2,FALSE)=0,"Spatial Data Missing ⚠",VLOOKUP(AI34,'G-7 WaterC'' Data'!$AA$4:$AB$7,2,FALSE)))</f>
        <v>1</v>
      </c>
      <c r="AK34" s="123" t="s">
        <v>1153</v>
      </c>
      <c r="AL34" s="363">
        <f>IF(AK34="","",IF(VLOOKUP(AK34,'G-7 WaterC'' Data'!$AD$4:$AE$14,2,FALSE)=0,"Spatial Data Missing ⚠",VLOOKUP(AK34,'G-7 WaterC'' Data'!$AD$4:$AE$14,2,FALSE)))</f>
        <v>1</v>
      </c>
      <c r="AM34" s="405">
        <f t="shared" si="7"/>
        <v>4.7225290699398563</v>
      </c>
      <c r="AN34" s="117"/>
      <c r="AO34" s="118"/>
      <c r="AP34" s="120" t="s">
        <v>2028</v>
      </c>
      <c r="AV34" s="30" t="str">
        <f>IFERROR(INDEX('G-7 WaterC'' Data'!$AZ$3:$AZ$7,MATCH(N34,'G-7 WaterC'' Data'!$AY$3:$AY$7,0)),"")</f>
        <v>Rivercond1</v>
      </c>
    </row>
    <row r="35" spans="2:48" ht="28.5" x14ac:dyDescent="0.2">
      <c r="B35" s="392">
        <f>'C-1 On-Site WaterC'' Baseline'!AO33</f>
        <v>28</v>
      </c>
      <c r="C35" s="382" t="str">
        <f>IF(B35="","",VLOOKUP($B35,'C-1 On-Site WaterC'' Baseline'!$C$9:$R$257,2,FALSE))</f>
        <v>Ditches</v>
      </c>
      <c r="D35" s="382">
        <f>IF(C35="","",VLOOKUP($B35,'C-1 On-Site WaterC'' Baseline'!$C$9:$R$257,3,FALSE))</f>
        <v>0.22259109128967375</v>
      </c>
      <c r="E35" s="382" t="str">
        <f>IF(D35="","",VLOOKUP($B35,'C-1 On-Site WaterC'' Baseline'!$C$9:$R$257,4,FALSE))</f>
        <v>Medium</v>
      </c>
      <c r="F35" s="382">
        <f>IF(E35="","",VLOOKUP($B35,'C-1 On-Site WaterC'' Baseline'!$C$9:$R$257,5,FALSE))</f>
        <v>4</v>
      </c>
      <c r="G35" s="382" t="str">
        <f>IF(F35="","",VLOOKUP($B35,'C-1 On-Site WaterC'' Baseline'!$C$9:$R$257,6,FALSE))</f>
        <v>Poor</v>
      </c>
      <c r="H35" s="382">
        <f>IF(G35="","",VLOOKUP($B35,'C-1 On-Site WaterC'' Baseline'!$C$9:$R$257,7,FALSE))</f>
        <v>1</v>
      </c>
      <c r="I35" s="382" t="str">
        <f>IF(H35="","",VLOOKUP($B35,'C-1 On-Site WaterC'' Baseline'!$C$9:$R$257,8,FALSE))</f>
        <v>Area/compensation not in local strategy/ no local strategy</v>
      </c>
      <c r="J35" s="382" t="str">
        <f>IF(I35="","",VLOOKUP($B35,'C-1 On-Site WaterC'' Baseline'!$C$9:$R$257,9,FALSE))</f>
        <v>Low Strategic Significance</v>
      </c>
      <c r="K35" s="382">
        <f>IF(J35="","",VLOOKUP($B35,'C-1 On-Site WaterC'' Baseline'!$C$9:$R$257,10,FALSE))</f>
        <v>1</v>
      </c>
      <c r="L35" s="382" t="str">
        <f>IF(B35="","",VLOOKUP($B35,'C-1 On-Site WaterC'' Baseline'!$C$9:$R$257,15,FALSE))</f>
        <v>Same habitat required =</v>
      </c>
      <c r="M35" s="386">
        <f>IF(L35="","",VLOOKUP($B35,'C-1 On-Site WaterC'' Baseline'!$C$9:$R$257,16,FALSE))</f>
        <v>0.66777327386902119</v>
      </c>
      <c r="N35" s="320" t="str">
        <f t="shared" si="0"/>
        <v>Ditches</v>
      </c>
      <c r="O35" s="362" t="str">
        <f t="shared" si="2"/>
        <v>Medium - Medium</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Poor - Poor</v>
      </c>
      <c r="Q35" s="425">
        <f>IF(N35="","",VLOOKUP(B35,'C-1 On-Site WaterC'' Baseline'!$C$10:$AB$257,19,FALSE))</f>
        <v>0.22259109128967375</v>
      </c>
      <c r="R35" s="362" t="str">
        <f>IF(N35="","",VLOOKUP(N35,'G-7 WaterC'' Data'!$B$2:$G$8,2,FALSE))</f>
        <v>Medium</v>
      </c>
      <c r="S35" s="363">
        <f>IFERROR(VLOOKUP(R35,'G-7 WaterC'' Data'!$C$4:$D$8,2,FALSE),"")</f>
        <v>4</v>
      </c>
      <c r="T35" s="114" t="s">
        <v>329</v>
      </c>
      <c r="U35" s="363">
        <f>IFERROR(INDEX('G-7 WaterC'' Data'!$H$4:$L$8,MATCH(N35,'G-7 WaterC'' Data'!$B$4:$B$8,0),MATCH(T35,'G-7 WaterC'' Data'!$H$3:$L$3,0)),"")</f>
        <v>1</v>
      </c>
      <c r="V35" s="114" t="s">
        <v>1037</v>
      </c>
      <c r="W35" s="370" t="str">
        <f>IF(V35="","",IF(VLOOKUP(V35,'G-7 WaterC'' Data'!$AK$4:$AM$6,2,FALSE)=0,"Spatial Data Missing ⚠",VLOOKUP(V35,'G-7 WaterC'' Data'!$AK$4:$AM$6,2,FALSE)))</f>
        <v>Low Strategic Significance</v>
      </c>
      <c r="X35" s="363">
        <f>IF(V35="","",IF(VLOOKUP(V35,'G-7 WaterC'' Data'!$AK$4:$AM$6,3,FALSE)=0,"Spatial Data Missing ⚠",VLOOKUP(V35,'G-7 WaterC'' Data'!$AK$4:$AM$6,3,FALSE)))</f>
        <v>1</v>
      </c>
      <c r="Y35" s="362">
        <f>IFERROR(IF(OR(LEFT(P35,5)="Error",LEFT(O35,5)="Error ▲"),"Check Data ⚠",IF(F35&lt;S35,'G-7 WaterC'' Data'!$R$3,INDEX('G-7 WaterC'' Data'!$U$5:$Y$9,MATCH(G35,'G-7 WaterC'' Data'!$T$5:$T$9,0),MATCH(T35,'G-7 WaterC'' Data'!$U$4:$Y$4,0)))),"")</f>
        <v>1</v>
      </c>
      <c r="Z35" s="159">
        <v>0</v>
      </c>
      <c r="AA35" s="159">
        <v>0</v>
      </c>
      <c r="AB35" s="370" t="str">
        <f t="shared" si="3"/>
        <v>Standard time to target condition applied</v>
      </c>
      <c r="AC35" s="383">
        <f t="shared" si="4"/>
        <v>1</v>
      </c>
      <c r="AD35" s="422">
        <f>IFERROR(IF(AC35="Check Data ⚠","Check Data ⚠",VLOOKUP(AC35,'G-4 Temporal multipliers'!$A$4:$C$37,3,FALSE)),"")</f>
        <v>0.96499999999999997</v>
      </c>
      <c r="AE35" s="362" t="str">
        <f>IF(N35="","",VLOOKUP(N35,'G-7 WaterC'' Data'!$B$4:$G$8,5,FALSE))</f>
        <v>Medium</v>
      </c>
      <c r="AF35" s="370" t="str">
        <f t="shared" si="5"/>
        <v>Standard difficulty applied</v>
      </c>
      <c r="AG35" s="401" t="str">
        <f t="shared" si="6"/>
        <v>Medium</v>
      </c>
      <c r="AH35" s="363">
        <f t="shared" si="1"/>
        <v>0.67</v>
      </c>
      <c r="AI35" s="122" t="s">
        <v>1126</v>
      </c>
      <c r="AJ35" s="363">
        <f>IF(AI35="","",IF(VLOOKUP(AI35,'G-7 WaterC'' Data'!$AA$4:$AB$7,2,FALSE)=0,"Spatial Data Missing ⚠",VLOOKUP(AI35,'G-7 WaterC'' Data'!$AA$4:$AB$7,2,FALSE)))</f>
        <v>1</v>
      </c>
      <c r="AK35" s="123" t="s">
        <v>1153</v>
      </c>
      <c r="AL35" s="363">
        <f>IF(AK35="","",IF(VLOOKUP(AK35,'G-7 WaterC'' Data'!$AD$4:$AE$14,2,FALSE)=0,"Spatial Data Missing ⚠",VLOOKUP(AK35,'G-7 WaterC'' Data'!$AD$4:$AE$14,2,FALSE)))</f>
        <v>1</v>
      </c>
      <c r="AM35" s="405">
        <f t="shared" si="7"/>
        <v>0.89036436515869499</v>
      </c>
      <c r="AN35" s="117"/>
      <c r="AO35" s="118"/>
      <c r="AP35" s="120" t="s">
        <v>2029</v>
      </c>
      <c r="AV35" s="30" t="str">
        <f>IFERROR(INDEX('G-7 WaterC'' Data'!$AZ$3:$AZ$7,MATCH(N35,'G-7 WaterC'' Data'!$AY$3:$AY$7,0)),"")</f>
        <v>Rivercond1</v>
      </c>
    </row>
    <row r="36" spans="2:48" ht="28.5" x14ac:dyDescent="0.2">
      <c r="B36" s="392">
        <f>'C-1 On-Site WaterC'' Baseline'!AO34</f>
        <v>29</v>
      </c>
      <c r="C36" s="382" t="str">
        <f>IF(B36="","",VLOOKUP($B36,'C-1 On-Site WaterC'' Baseline'!$C$9:$R$257,2,FALSE))</f>
        <v>Ditches</v>
      </c>
      <c r="D36" s="382">
        <f>IF(C36="","",VLOOKUP($B36,'C-1 On-Site WaterC'' Baseline'!$C$9:$R$257,3,FALSE))</f>
        <v>0.59567824991111384</v>
      </c>
      <c r="E36" s="382" t="str">
        <f>IF(D36="","",VLOOKUP($B36,'C-1 On-Site WaterC'' Baseline'!$C$9:$R$257,4,FALSE))</f>
        <v>Medium</v>
      </c>
      <c r="F36" s="382">
        <f>IF(E36="","",VLOOKUP($B36,'C-1 On-Site WaterC'' Baseline'!$C$9:$R$257,5,FALSE))</f>
        <v>4</v>
      </c>
      <c r="G36" s="382" t="str">
        <f>IF(F36="","",VLOOKUP($B36,'C-1 On-Site WaterC'' Baseline'!$C$9:$R$257,6,FALSE))</f>
        <v>Poor</v>
      </c>
      <c r="H36" s="382">
        <f>IF(G36="","",VLOOKUP($B36,'C-1 On-Site WaterC'' Baseline'!$C$9:$R$257,7,FALSE))</f>
        <v>1</v>
      </c>
      <c r="I36" s="382" t="str">
        <f>IF(H36="","",VLOOKUP($B36,'C-1 On-Site WaterC'' Baseline'!$C$9:$R$257,8,FALSE))</f>
        <v>Area/compensation not in local strategy/ no local strategy</v>
      </c>
      <c r="J36" s="382" t="str">
        <f>IF(I36="","",VLOOKUP($B36,'C-1 On-Site WaterC'' Baseline'!$C$9:$R$257,9,FALSE))</f>
        <v>Low Strategic Significance</v>
      </c>
      <c r="K36" s="382">
        <f>IF(J36="","",VLOOKUP($B36,'C-1 On-Site WaterC'' Baseline'!$C$9:$R$257,10,FALSE))</f>
        <v>1</v>
      </c>
      <c r="L36" s="382" t="str">
        <f>IF(B36="","",VLOOKUP($B36,'C-1 On-Site WaterC'' Baseline'!$C$9:$R$257,15,FALSE))</f>
        <v>Same habitat required =</v>
      </c>
      <c r="M36" s="386">
        <f>IF(L36="","",VLOOKUP($B36,'C-1 On-Site WaterC'' Baseline'!$C$9:$R$257,16,FALSE))</f>
        <v>1.7870347497333414</v>
      </c>
      <c r="N36" s="320" t="str">
        <f t="shared" si="0"/>
        <v>Ditches</v>
      </c>
      <c r="O36" s="362" t="str">
        <f t="shared" si="2"/>
        <v>Medium - Medium</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Poor - Poor</v>
      </c>
      <c r="Q36" s="425">
        <f>IF(N36="","",VLOOKUP(B36,'C-1 On-Site WaterC'' Baseline'!$C$10:$AB$257,19,FALSE))</f>
        <v>0.59567824991111384</v>
      </c>
      <c r="R36" s="362" t="str">
        <f>IF(N36="","",VLOOKUP(N36,'G-7 WaterC'' Data'!$B$2:$G$8,2,FALSE))</f>
        <v>Medium</v>
      </c>
      <c r="S36" s="363">
        <f>IFERROR(VLOOKUP(R36,'G-7 WaterC'' Data'!$C$4:$D$8,2,FALSE),"")</f>
        <v>4</v>
      </c>
      <c r="T36" s="114" t="s">
        <v>329</v>
      </c>
      <c r="U36" s="363">
        <f>IFERROR(INDEX('G-7 WaterC'' Data'!$H$4:$L$8,MATCH(N36,'G-7 WaterC'' Data'!$B$4:$B$8,0),MATCH(T36,'G-7 WaterC'' Data'!$H$3:$L$3,0)),"")</f>
        <v>1</v>
      </c>
      <c r="V36" s="114" t="s">
        <v>1037</v>
      </c>
      <c r="W36" s="370" t="str">
        <f>IF(V36="","",IF(VLOOKUP(V36,'G-7 WaterC'' Data'!$AK$4:$AM$6,2,FALSE)=0,"Spatial Data Missing ⚠",VLOOKUP(V36,'G-7 WaterC'' Data'!$AK$4:$AM$6,2,FALSE)))</f>
        <v>Low Strategic Significance</v>
      </c>
      <c r="X36" s="363">
        <f>IF(V36="","",IF(VLOOKUP(V36,'G-7 WaterC'' Data'!$AK$4:$AM$6,3,FALSE)=0,"Spatial Data Missing ⚠",VLOOKUP(V36,'G-7 WaterC'' Data'!$AK$4:$AM$6,3,FALSE)))</f>
        <v>1</v>
      </c>
      <c r="Y36" s="362">
        <f>IFERROR(IF(OR(LEFT(P36,5)="Error",LEFT(O36,5)="Error ▲"),"Check Data ⚠",IF(F36&lt;S36,'G-7 WaterC'' Data'!$R$3,INDEX('G-7 WaterC'' Data'!$U$5:$Y$9,MATCH(G36,'G-7 WaterC'' Data'!$T$5:$T$9,0),MATCH(T36,'G-7 WaterC'' Data'!$U$4:$Y$4,0)))),"")</f>
        <v>1</v>
      </c>
      <c r="Z36" s="159">
        <v>0</v>
      </c>
      <c r="AA36" s="159">
        <v>0</v>
      </c>
      <c r="AB36" s="370" t="str">
        <f t="shared" si="3"/>
        <v>Standard time to target condition applied</v>
      </c>
      <c r="AC36" s="383">
        <f t="shared" si="4"/>
        <v>1</v>
      </c>
      <c r="AD36" s="422">
        <f>IFERROR(IF(AC36="Check Data ⚠","Check Data ⚠",VLOOKUP(AC36,'G-4 Temporal multipliers'!$A$4:$C$37,3,FALSE)),"")</f>
        <v>0.96499999999999997</v>
      </c>
      <c r="AE36" s="362" t="str">
        <f>IF(N36="","",VLOOKUP(N36,'G-7 WaterC'' Data'!$B$4:$G$8,5,FALSE))</f>
        <v>Medium</v>
      </c>
      <c r="AF36" s="370" t="str">
        <f t="shared" si="5"/>
        <v>Standard difficulty applied</v>
      </c>
      <c r="AG36" s="401" t="str">
        <f t="shared" si="6"/>
        <v>Medium</v>
      </c>
      <c r="AH36" s="363">
        <f t="shared" si="1"/>
        <v>0.67</v>
      </c>
      <c r="AI36" s="122" t="s">
        <v>1126</v>
      </c>
      <c r="AJ36" s="363">
        <f>IF(AI36="","",IF(VLOOKUP(AI36,'G-7 WaterC'' Data'!$AA$4:$AB$7,2,FALSE)=0,"Spatial Data Missing ⚠",VLOOKUP(AI36,'G-7 WaterC'' Data'!$AA$4:$AB$7,2,FALSE)))</f>
        <v>1</v>
      </c>
      <c r="AK36" s="123" t="s">
        <v>1153</v>
      </c>
      <c r="AL36" s="363">
        <f>IF(AK36="","",IF(VLOOKUP(AK36,'G-7 WaterC'' Data'!$AD$4:$AE$14,2,FALSE)=0,"Spatial Data Missing ⚠",VLOOKUP(AK36,'G-7 WaterC'' Data'!$AD$4:$AE$14,2,FALSE)))</f>
        <v>1</v>
      </c>
      <c r="AM36" s="405">
        <f t="shared" si="7"/>
        <v>2.3827129996444554</v>
      </c>
      <c r="AN36" s="117"/>
      <c r="AO36" s="118"/>
      <c r="AP36" s="120" t="s">
        <v>2030</v>
      </c>
      <c r="AV36" s="30" t="str">
        <f>IFERROR(INDEX('G-7 WaterC'' Data'!$AZ$3:$AZ$7,MATCH(N36,'G-7 WaterC'' Data'!$AY$3:$AY$7,0)),"")</f>
        <v>Rivercond1</v>
      </c>
    </row>
    <row r="37" spans="2:48" ht="28.5" x14ac:dyDescent="0.2">
      <c r="B37" s="392">
        <f>'C-1 On-Site WaterC'' Baseline'!AO35</f>
        <v>30</v>
      </c>
      <c r="C37" s="382" t="str">
        <f>IF(B37="","",VLOOKUP($B37,'C-1 On-Site WaterC'' Baseline'!$C$9:$R$257,2,FALSE))</f>
        <v>Ditches</v>
      </c>
      <c r="D37" s="382">
        <f>IF(C37="","",VLOOKUP($B37,'C-1 On-Site WaterC'' Baseline'!$C$9:$R$257,3,FALSE))</f>
        <v>0.31559929546023724</v>
      </c>
      <c r="E37" s="382" t="str">
        <f>IF(D37="","",VLOOKUP($B37,'C-1 On-Site WaterC'' Baseline'!$C$9:$R$257,4,FALSE))</f>
        <v>Medium</v>
      </c>
      <c r="F37" s="382">
        <f>IF(E37="","",VLOOKUP($B37,'C-1 On-Site WaterC'' Baseline'!$C$9:$R$257,5,FALSE))</f>
        <v>4</v>
      </c>
      <c r="G37" s="382" t="str">
        <f>IF(F37="","",VLOOKUP($B37,'C-1 On-Site WaterC'' Baseline'!$C$9:$R$257,6,FALSE))</f>
        <v>Poor</v>
      </c>
      <c r="H37" s="382">
        <f>IF(G37="","",VLOOKUP($B37,'C-1 On-Site WaterC'' Baseline'!$C$9:$R$257,7,FALSE))</f>
        <v>1</v>
      </c>
      <c r="I37" s="382" t="str">
        <f>IF(H37="","",VLOOKUP($B37,'C-1 On-Site WaterC'' Baseline'!$C$9:$R$257,8,FALSE))</f>
        <v>Area/compensation not in local strategy/ no local strategy</v>
      </c>
      <c r="J37" s="382" t="str">
        <f>IF(I37="","",VLOOKUP($B37,'C-1 On-Site WaterC'' Baseline'!$C$9:$R$257,9,FALSE))</f>
        <v>Low Strategic Significance</v>
      </c>
      <c r="K37" s="382">
        <f>IF(J37="","",VLOOKUP($B37,'C-1 On-Site WaterC'' Baseline'!$C$9:$R$257,10,FALSE))</f>
        <v>1</v>
      </c>
      <c r="L37" s="382" t="str">
        <f>IF(B37="","",VLOOKUP($B37,'C-1 On-Site WaterC'' Baseline'!$C$9:$R$257,15,FALSE))</f>
        <v>Same habitat required =</v>
      </c>
      <c r="M37" s="386">
        <f>IF(L37="","",VLOOKUP($B37,'C-1 On-Site WaterC'' Baseline'!$C$9:$R$257,16,FALSE))</f>
        <v>0.94679788638071172</v>
      </c>
      <c r="N37" s="320" t="str">
        <f t="shared" si="0"/>
        <v>Ditches</v>
      </c>
      <c r="O37" s="362" t="str">
        <f t="shared" si="2"/>
        <v>Medium - Medium</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Poor - Poor</v>
      </c>
      <c r="Q37" s="425">
        <f>IF(N37="","",VLOOKUP(B37,'C-1 On-Site WaterC'' Baseline'!$C$10:$AB$257,19,FALSE))</f>
        <v>0.31559929546023724</v>
      </c>
      <c r="R37" s="362" t="str">
        <f>IF(N37="","",VLOOKUP(N37,'G-7 WaterC'' Data'!$B$2:$G$8,2,FALSE))</f>
        <v>Medium</v>
      </c>
      <c r="S37" s="363">
        <f>IFERROR(VLOOKUP(R37,'G-7 WaterC'' Data'!$C$4:$D$8,2,FALSE),"")</f>
        <v>4</v>
      </c>
      <c r="T37" s="114" t="s">
        <v>329</v>
      </c>
      <c r="U37" s="363">
        <f>IFERROR(INDEX('G-7 WaterC'' Data'!$H$4:$L$8,MATCH(N37,'G-7 WaterC'' Data'!$B$4:$B$8,0),MATCH(T37,'G-7 WaterC'' Data'!$H$3:$L$3,0)),"")</f>
        <v>1</v>
      </c>
      <c r="V37" s="114" t="s">
        <v>1037</v>
      </c>
      <c r="W37" s="370" t="str">
        <f>IF(V37="","",IF(VLOOKUP(V37,'G-7 WaterC'' Data'!$AK$4:$AM$6,2,FALSE)=0,"Spatial Data Missing ⚠",VLOOKUP(V37,'G-7 WaterC'' Data'!$AK$4:$AM$6,2,FALSE)))</f>
        <v>Low Strategic Significance</v>
      </c>
      <c r="X37" s="363">
        <f>IF(V37="","",IF(VLOOKUP(V37,'G-7 WaterC'' Data'!$AK$4:$AM$6,3,FALSE)=0,"Spatial Data Missing ⚠",VLOOKUP(V37,'G-7 WaterC'' Data'!$AK$4:$AM$6,3,FALSE)))</f>
        <v>1</v>
      </c>
      <c r="Y37" s="362">
        <f>IFERROR(IF(OR(LEFT(P37,5)="Error",LEFT(O37,5)="Error ▲"),"Check Data ⚠",IF(F37&lt;S37,'G-7 WaterC'' Data'!$R$3,INDEX('G-7 WaterC'' Data'!$U$5:$Y$9,MATCH(G37,'G-7 WaterC'' Data'!$T$5:$T$9,0),MATCH(T37,'G-7 WaterC'' Data'!$U$4:$Y$4,0)))),"")</f>
        <v>1</v>
      </c>
      <c r="Z37" s="159">
        <v>0</v>
      </c>
      <c r="AA37" s="159">
        <v>0</v>
      </c>
      <c r="AB37" s="370" t="str">
        <f t="shared" si="3"/>
        <v>Standard time to target condition applied</v>
      </c>
      <c r="AC37" s="383">
        <f t="shared" si="4"/>
        <v>1</v>
      </c>
      <c r="AD37" s="422">
        <f>IFERROR(IF(AC37="Check Data ⚠","Check Data ⚠",VLOOKUP(AC37,'G-4 Temporal multipliers'!$A$4:$C$37,3,FALSE)),"")</f>
        <v>0.96499999999999997</v>
      </c>
      <c r="AE37" s="362" t="str">
        <f>IF(N37="","",VLOOKUP(N37,'G-7 WaterC'' Data'!$B$4:$G$8,5,FALSE))</f>
        <v>Medium</v>
      </c>
      <c r="AF37" s="370" t="str">
        <f t="shared" si="5"/>
        <v>Standard difficulty applied</v>
      </c>
      <c r="AG37" s="401" t="str">
        <f t="shared" si="6"/>
        <v>Medium</v>
      </c>
      <c r="AH37" s="363">
        <f t="shared" si="1"/>
        <v>0.67</v>
      </c>
      <c r="AI37" s="122" t="s">
        <v>1126</v>
      </c>
      <c r="AJ37" s="363">
        <f>IF(AI37="","",IF(VLOOKUP(AI37,'G-7 WaterC'' Data'!$AA$4:$AB$7,2,FALSE)=0,"Spatial Data Missing ⚠",VLOOKUP(AI37,'G-7 WaterC'' Data'!$AA$4:$AB$7,2,FALSE)))</f>
        <v>1</v>
      </c>
      <c r="AK37" s="123" t="s">
        <v>1153</v>
      </c>
      <c r="AL37" s="363">
        <f>IF(AK37="","",IF(VLOOKUP(AK37,'G-7 WaterC'' Data'!$AD$4:$AE$14,2,FALSE)=0,"Spatial Data Missing ⚠",VLOOKUP(AK37,'G-7 WaterC'' Data'!$AD$4:$AE$14,2,FALSE)))</f>
        <v>1</v>
      </c>
      <c r="AM37" s="405">
        <f t="shared" si="7"/>
        <v>1.262397181840949</v>
      </c>
      <c r="AN37" s="117"/>
      <c r="AO37" s="118"/>
      <c r="AP37" s="120" t="s">
        <v>2031</v>
      </c>
      <c r="AV37" s="30" t="str">
        <f>IFERROR(INDEX('G-7 WaterC'' Data'!$AZ$3:$AZ$7,MATCH(N37,'G-7 WaterC'' Data'!$AY$3:$AY$7,0)),"")</f>
        <v>Rivercond1</v>
      </c>
    </row>
    <row r="38" spans="2:48" ht="28.5" x14ac:dyDescent="0.2">
      <c r="B38" s="392">
        <f>'C-1 On-Site WaterC'' Baseline'!AO36</f>
        <v>31</v>
      </c>
      <c r="C38" s="382" t="str">
        <f>IF(B38="","",VLOOKUP($B38,'C-1 On-Site WaterC'' Baseline'!$C$9:$R$257,2,FALSE))</f>
        <v>Ditches</v>
      </c>
      <c r="D38" s="382">
        <f>IF(C38="","",VLOOKUP($B38,'C-1 On-Site WaterC'' Baseline'!$C$9:$R$257,3,FALSE))</f>
        <v>0.19785248353610904</v>
      </c>
      <c r="E38" s="382" t="str">
        <f>IF(D38="","",VLOOKUP($B38,'C-1 On-Site WaterC'' Baseline'!$C$9:$R$257,4,FALSE))</f>
        <v>Medium</v>
      </c>
      <c r="F38" s="382">
        <f>IF(E38="","",VLOOKUP($B38,'C-1 On-Site WaterC'' Baseline'!$C$9:$R$257,5,FALSE))</f>
        <v>4</v>
      </c>
      <c r="G38" s="382" t="str">
        <f>IF(F38="","",VLOOKUP($B38,'C-1 On-Site WaterC'' Baseline'!$C$9:$R$257,6,FALSE))</f>
        <v>Poor</v>
      </c>
      <c r="H38" s="382">
        <f>IF(G38="","",VLOOKUP($B38,'C-1 On-Site WaterC'' Baseline'!$C$9:$R$257,7,FALSE))</f>
        <v>1</v>
      </c>
      <c r="I38" s="382" t="str">
        <f>IF(H38="","",VLOOKUP($B38,'C-1 On-Site WaterC'' Baseline'!$C$9:$R$257,8,FALSE))</f>
        <v>Formally identified in local strategy</v>
      </c>
      <c r="J38" s="382" t="str">
        <f>IF(I38="","",VLOOKUP($B38,'C-1 On-Site WaterC'' Baseline'!$C$9:$R$257,9,FALSE))</f>
        <v xml:space="preserve">High strategic significance </v>
      </c>
      <c r="K38" s="382">
        <f>IF(J38="","",VLOOKUP($B38,'C-1 On-Site WaterC'' Baseline'!$C$9:$R$257,10,FALSE))</f>
        <v>1.1499999999999999</v>
      </c>
      <c r="L38" s="382" t="str">
        <f>IF(B38="","",VLOOKUP($B38,'C-1 On-Site WaterC'' Baseline'!$C$9:$R$257,15,FALSE))</f>
        <v>Same habitat required =</v>
      </c>
      <c r="M38" s="386">
        <f>IF(L38="","",VLOOKUP($B38,'C-1 On-Site WaterC'' Baseline'!$C$9:$R$257,16,FALSE))</f>
        <v>0.68259106819957616</v>
      </c>
      <c r="N38" s="320" t="str">
        <f t="shared" si="0"/>
        <v>Ditches</v>
      </c>
      <c r="O38" s="362" t="str">
        <f t="shared" si="2"/>
        <v>Medium - Medium</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Poor - Poor</v>
      </c>
      <c r="Q38" s="425">
        <f>IF(N38="","",VLOOKUP(B38,'C-1 On-Site WaterC'' Baseline'!$C$10:$AB$257,19,FALSE))</f>
        <v>0.19785248353610904</v>
      </c>
      <c r="R38" s="362" t="str">
        <f>IF(N38="","",VLOOKUP(N38,'G-7 WaterC'' Data'!$B$2:$G$8,2,FALSE))</f>
        <v>Medium</v>
      </c>
      <c r="S38" s="363">
        <f>IFERROR(VLOOKUP(R38,'G-7 WaterC'' Data'!$C$4:$D$8,2,FALSE),"")</f>
        <v>4</v>
      </c>
      <c r="T38" s="114" t="s">
        <v>329</v>
      </c>
      <c r="U38" s="363">
        <f>IFERROR(INDEX('G-7 WaterC'' Data'!$H$4:$L$8,MATCH(N38,'G-7 WaterC'' Data'!$B$4:$B$8,0),MATCH(T38,'G-7 WaterC'' Data'!$H$3:$L$3,0)),"")</f>
        <v>1</v>
      </c>
      <c r="V38" s="114" t="s">
        <v>1029</v>
      </c>
      <c r="W38" s="370" t="str">
        <f>IF(V38="","",IF(VLOOKUP(V38,'G-7 WaterC'' Data'!$AK$4:$AM$6,2,FALSE)=0,"Spatial Data Missing ⚠",VLOOKUP(V38,'G-7 WaterC'' Data'!$AK$4:$AM$6,2,FALSE)))</f>
        <v xml:space="preserve">High strategic significance </v>
      </c>
      <c r="X38" s="363">
        <f>IF(V38="","",IF(VLOOKUP(V38,'G-7 WaterC'' Data'!$AK$4:$AM$6,3,FALSE)=0,"Spatial Data Missing ⚠",VLOOKUP(V38,'G-7 WaterC'' Data'!$AK$4:$AM$6,3,FALSE)))</f>
        <v>1.1499999999999999</v>
      </c>
      <c r="Y38" s="362">
        <f>IFERROR(IF(OR(LEFT(P38,5)="Error",LEFT(O38,5)="Error ▲"),"Check Data ⚠",IF(F38&lt;S38,'G-7 WaterC'' Data'!$R$3,INDEX('G-7 WaterC'' Data'!$U$5:$Y$9,MATCH(G38,'G-7 WaterC'' Data'!$T$5:$T$9,0),MATCH(T38,'G-7 WaterC'' Data'!$U$4:$Y$4,0)))),"")</f>
        <v>1</v>
      </c>
      <c r="Z38" s="159">
        <v>0</v>
      </c>
      <c r="AA38" s="159">
        <v>0</v>
      </c>
      <c r="AB38" s="370" t="str">
        <f t="shared" si="3"/>
        <v>Standard time to target condition applied</v>
      </c>
      <c r="AC38" s="383">
        <f t="shared" si="4"/>
        <v>1</v>
      </c>
      <c r="AD38" s="422">
        <f>IFERROR(IF(AC38="Check Data ⚠","Check Data ⚠",VLOOKUP(AC38,'G-4 Temporal multipliers'!$A$4:$C$37,3,FALSE)),"")</f>
        <v>0.96499999999999997</v>
      </c>
      <c r="AE38" s="362" t="str">
        <f>IF(N38="","",VLOOKUP(N38,'G-7 WaterC'' Data'!$B$4:$G$8,5,FALSE))</f>
        <v>Medium</v>
      </c>
      <c r="AF38" s="370" t="str">
        <f t="shared" si="5"/>
        <v>Standard difficulty applied</v>
      </c>
      <c r="AG38" s="401" t="str">
        <f t="shared" si="6"/>
        <v>Medium</v>
      </c>
      <c r="AH38" s="363">
        <f t="shared" si="1"/>
        <v>0.67</v>
      </c>
      <c r="AI38" s="122" t="s">
        <v>1126</v>
      </c>
      <c r="AJ38" s="363">
        <f>IF(AI38="","",IF(VLOOKUP(AI38,'G-7 WaterC'' Data'!$AA$4:$AB$7,2,FALSE)=0,"Spatial Data Missing ⚠",VLOOKUP(AI38,'G-7 WaterC'' Data'!$AA$4:$AB$7,2,FALSE)))</f>
        <v>1</v>
      </c>
      <c r="AK38" s="123" t="s">
        <v>1153</v>
      </c>
      <c r="AL38" s="363">
        <f>IF(AK38="","",IF(VLOOKUP(AK38,'G-7 WaterC'' Data'!$AD$4:$AE$14,2,FALSE)=0,"Spatial Data Missing ⚠",VLOOKUP(AK38,'G-7 WaterC'' Data'!$AD$4:$AE$14,2,FALSE)))</f>
        <v>1</v>
      </c>
      <c r="AM38" s="405">
        <f t="shared" si="7"/>
        <v>0.91012142426610154</v>
      </c>
      <c r="AN38" s="117"/>
      <c r="AO38" s="118"/>
      <c r="AP38" s="120" t="s">
        <v>2032</v>
      </c>
      <c r="AV38" s="30" t="str">
        <f>IFERROR(INDEX('G-7 WaterC'' Data'!$AZ$3:$AZ$7,MATCH(N38,'G-7 WaterC'' Data'!$AY$3:$AY$7,0)),"")</f>
        <v>Rivercond1</v>
      </c>
    </row>
    <row r="39" spans="2:48" ht="28.5" x14ac:dyDescent="0.2">
      <c r="B39" s="392">
        <f>'C-1 On-Site WaterC'' Baseline'!AO37</f>
        <v>32</v>
      </c>
      <c r="C39" s="382" t="str">
        <f>IF(B39="","",VLOOKUP($B39,'C-1 On-Site WaterC'' Baseline'!$C$9:$R$257,2,FALSE))</f>
        <v>Ditches</v>
      </c>
      <c r="D39" s="382">
        <f>IF(C39="","",VLOOKUP($B39,'C-1 On-Site WaterC'' Baseline'!$C$9:$R$257,3,FALSE))</f>
        <v>2.3438422364524436E-3</v>
      </c>
      <c r="E39" s="382" t="str">
        <f>IF(D39="","",VLOOKUP($B39,'C-1 On-Site WaterC'' Baseline'!$C$9:$R$257,4,FALSE))</f>
        <v>Medium</v>
      </c>
      <c r="F39" s="382">
        <f>IF(E39="","",VLOOKUP($B39,'C-1 On-Site WaterC'' Baseline'!$C$9:$R$257,5,FALSE))</f>
        <v>4</v>
      </c>
      <c r="G39" s="382" t="str">
        <f>IF(F39="","",VLOOKUP($B39,'C-1 On-Site WaterC'' Baseline'!$C$9:$R$257,6,FALSE))</f>
        <v>Poor</v>
      </c>
      <c r="H39" s="382">
        <f>IF(G39="","",VLOOKUP($B39,'C-1 On-Site WaterC'' Baseline'!$C$9:$R$257,7,FALSE))</f>
        <v>1</v>
      </c>
      <c r="I39" s="382" t="str">
        <f>IF(H39="","",VLOOKUP($B39,'C-1 On-Site WaterC'' Baseline'!$C$9:$R$257,8,FALSE))</f>
        <v>Area/compensation not in local strategy/ no local strategy</v>
      </c>
      <c r="J39" s="382" t="str">
        <f>IF(I39="","",VLOOKUP($B39,'C-1 On-Site WaterC'' Baseline'!$C$9:$R$257,9,FALSE))</f>
        <v>Low Strategic Significance</v>
      </c>
      <c r="K39" s="382">
        <f>IF(J39="","",VLOOKUP($B39,'C-1 On-Site WaterC'' Baseline'!$C$9:$R$257,10,FALSE))</f>
        <v>1</v>
      </c>
      <c r="L39" s="382" t="str">
        <f>IF(B39="","",VLOOKUP($B39,'C-1 On-Site WaterC'' Baseline'!$C$9:$R$257,15,FALSE))</f>
        <v>Same habitat required =</v>
      </c>
      <c r="M39" s="386">
        <f>IF(L39="","",VLOOKUP($B39,'C-1 On-Site WaterC'' Baseline'!$C$9:$R$257,16,FALSE))</f>
        <v>7.0315267093573313E-3</v>
      </c>
      <c r="N39" s="320" t="str">
        <f t="shared" si="0"/>
        <v>Ditches</v>
      </c>
      <c r="O39" s="362" t="str">
        <f t="shared" si="2"/>
        <v>Medium - Medium</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Poor - Poor</v>
      </c>
      <c r="Q39" s="425">
        <f>IF(N39="","",VLOOKUP(B39,'C-1 On-Site WaterC'' Baseline'!$C$10:$AB$257,19,FALSE))</f>
        <v>2.3438422364524436E-3</v>
      </c>
      <c r="R39" s="362" t="str">
        <f>IF(N39="","",VLOOKUP(N39,'G-7 WaterC'' Data'!$B$2:$G$8,2,FALSE))</f>
        <v>Medium</v>
      </c>
      <c r="S39" s="363">
        <f>IFERROR(VLOOKUP(R39,'G-7 WaterC'' Data'!$C$4:$D$8,2,FALSE),"")</f>
        <v>4</v>
      </c>
      <c r="T39" s="114" t="s">
        <v>329</v>
      </c>
      <c r="U39" s="363">
        <f>IFERROR(INDEX('G-7 WaterC'' Data'!$H$4:$L$8,MATCH(N39,'G-7 WaterC'' Data'!$B$4:$B$8,0),MATCH(T39,'G-7 WaterC'' Data'!$H$3:$L$3,0)),"")</f>
        <v>1</v>
      </c>
      <c r="V39" s="114" t="s">
        <v>1037</v>
      </c>
      <c r="W39" s="370" t="str">
        <f>IF(V39="","",IF(VLOOKUP(V39,'G-7 WaterC'' Data'!$AK$4:$AM$6,2,FALSE)=0,"Spatial Data Missing ⚠",VLOOKUP(V39,'G-7 WaterC'' Data'!$AK$4:$AM$6,2,FALSE)))</f>
        <v>Low Strategic Significance</v>
      </c>
      <c r="X39" s="363">
        <f>IF(V39="","",IF(VLOOKUP(V39,'G-7 WaterC'' Data'!$AK$4:$AM$6,3,FALSE)=0,"Spatial Data Missing ⚠",VLOOKUP(V39,'G-7 WaterC'' Data'!$AK$4:$AM$6,3,FALSE)))</f>
        <v>1</v>
      </c>
      <c r="Y39" s="362">
        <f>IFERROR(IF(OR(LEFT(P39,5)="Error",LEFT(O39,5)="Error ▲"),"Check Data ⚠",IF(F39&lt;S39,'G-7 WaterC'' Data'!$R$3,INDEX('G-7 WaterC'' Data'!$U$5:$Y$9,MATCH(G39,'G-7 WaterC'' Data'!$T$5:$T$9,0),MATCH(T39,'G-7 WaterC'' Data'!$U$4:$Y$4,0)))),"")</f>
        <v>1</v>
      </c>
      <c r="Z39" s="159">
        <v>0</v>
      </c>
      <c r="AA39" s="159">
        <v>0</v>
      </c>
      <c r="AB39" s="370" t="str">
        <f t="shared" si="3"/>
        <v>Standard time to target condition applied</v>
      </c>
      <c r="AC39" s="383">
        <f t="shared" si="4"/>
        <v>1</v>
      </c>
      <c r="AD39" s="422">
        <f>IFERROR(IF(AC39="Check Data ⚠","Check Data ⚠",VLOOKUP(AC39,'G-4 Temporal multipliers'!$A$4:$C$37,3,FALSE)),"")</f>
        <v>0.96499999999999997</v>
      </c>
      <c r="AE39" s="362" t="str">
        <f>IF(N39="","",VLOOKUP(N39,'G-7 WaterC'' Data'!$B$4:$G$8,5,FALSE))</f>
        <v>Medium</v>
      </c>
      <c r="AF39" s="370" t="str">
        <f t="shared" si="5"/>
        <v>Standard difficulty applied</v>
      </c>
      <c r="AG39" s="401" t="str">
        <f t="shared" si="6"/>
        <v>Medium</v>
      </c>
      <c r="AH39" s="363">
        <f t="shared" si="1"/>
        <v>0.67</v>
      </c>
      <c r="AI39" s="122" t="s">
        <v>1126</v>
      </c>
      <c r="AJ39" s="363">
        <f>IF(AI39="","",IF(VLOOKUP(AI39,'G-7 WaterC'' Data'!$AA$4:$AB$7,2,FALSE)=0,"Spatial Data Missing ⚠",VLOOKUP(AI39,'G-7 WaterC'' Data'!$AA$4:$AB$7,2,FALSE)))</f>
        <v>1</v>
      </c>
      <c r="AK39" s="123" t="s">
        <v>1153</v>
      </c>
      <c r="AL39" s="363">
        <f>IF(AK39="","",IF(VLOOKUP(AK39,'G-7 WaterC'' Data'!$AD$4:$AE$14,2,FALSE)=0,"Spatial Data Missing ⚠",VLOOKUP(AK39,'G-7 WaterC'' Data'!$AD$4:$AE$14,2,FALSE)))</f>
        <v>1</v>
      </c>
      <c r="AM39" s="405">
        <f t="shared" si="7"/>
        <v>9.3753689458097745E-3</v>
      </c>
      <c r="AN39" s="117"/>
      <c r="AO39" s="118"/>
      <c r="AP39" s="120" t="s">
        <v>2033</v>
      </c>
      <c r="AV39" s="30" t="str">
        <f>IFERROR(INDEX('G-7 WaterC'' Data'!$AZ$3:$AZ$7,MATCH(N39,'G-7 WaterC'' Data'!$AY$3:$AY$7,0)),"")</f>
        <v>Rivercond1</v>
      </c>
    </row>
    <row r="40" spans="2:48" ht="28.5" x14ac:dyDescent="0.2">
      <c r="B40" s="392">
        <f>'C-1 On-Site WaterC'' Baseline'!AO38</f>
        <v>33</v>
      </c>
      <c r="C40" s="382" t="str">
        <f>IF(B40="","",VLOOKUP($B40,'C-1 On-Site WaterC'' Baseline'!$C$9:$R$257,2,FALSE))</f>
        <v>Ditches</v>
      </c>
      <c r="D40" s="382">
        <f>IF(C40="","",VLOOKUP($B40,'C-1 On-Site WaterC'' Baseline'!$C$9:$R$257,3,FALSE))</f>
        <v>0.76470390326926829</v>
      </c>
      <c r="E40" s="382" t="str">
        <f>IF(D40="","",VLOOKUP($B40,'C-1 On-Site WaterC'' Baseline'!$C$9:$R$257,4,FALSE))</f>
        <v>Medium</v>
      </c>
      <c r="F40" s="382">
        <f>IF(E40="","",VLOOKUP($B40,'C-1 On-Site WaterC'' Baseline'!$C$9:$R$257,5,FALSE))</f>
        <v>4</v>
      </c>
      <c r="G40" s="382" t="str">
        <f>IF(F40="","",VLOOKUP($B40,'C-1 On-Site WaterC'' Baseline'!$C$9:$R$257,6,FALSE))</f>
        <v>Poor</v>
      </c>
      <c r="H40" s="382">
        <f>IF(G40="","",VLOOKUP($B40,'C-1 On-Site WaterC'' Baseline'!$C$9:$R$257,7,FALSE))</f>
        <v>1</v>
      </c>
      <c r="I40" s="382" t="str">
        <f>IF(H40="","",VLOOKUP($B40,'C-1 On-Site WaterC'' Baseline'!$C$9:$R$257,8,FALSE))</f>
        <v>Formally identified in local strategy</v>
      </c>
      <c r="J40" s="382" t="str">
        <f>IF(I40="","",VLOOKUP($B40,'C-1 On-Site WaterC'' Baseline'!$C$9:$R$257,9,FALSE))</f>
        <v xml:space="preserve">High strategic significance </v>
      </c>
      <c r="K40" s="382">
        <f>IF(J40="","",VLOOKUP($B40,'C-1 On-Site WaterC'' Baseline'!$C$9:$R$257,10,FALSE))</f>
        <v>1.1499999999999999</v>
      </c>
      <c r="L40" s="382" t="str">
        <f>IF(B40="","",VLOOKUP($B40,'C-1 On-Site WaterC'' Baseline'!$C$9:$R$257,15,FALSE))</f>
        <v>Same habitat required =</v>
      </c>
      <c r="M40" s="386">
        <f>IF(L40="","",VLOOKUP($B40,'C-1 On-Site WaterC'' Baseline'!$C$9:$R$257,16,FALSE))</f>
        <v>2.6382284662789757</v>
      </c>
      <c r="N40" s="320" t="str">
        <f t="shared" si="0"/>
        <v>Ditches</v>
      </c>
      <c r="O40" s="362" t="str">
        <f t="shared" si="2"/>
        <v>Medium - Medium</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Poor - Poor</v>
      </c>
      <c r="Q40" s="425">
        <f>IF(N40="","",VLOOKUP(B40,'C-1 On-Site WaterC'' Baseline'!$C$10:$AB$257,19,FALSE))</f>
        <v>0.76470390326926829</v>
      </c>
      <c r="R40" s="362" t="str">
        <f>IF(N40="","",VLOOKUP(N40,'G-7 WaterC'' Data'!$B$2:$G$8,2,FALSE))</f>
        <v>Medium</v>
      </c>
      <c r="S40" s="363">
        <f>IFERROR(VLOOKUP(R40,'G-7 WaterC'' Data'!$C$4:$D$8,2,FALSE),"")</f>
        <v>4</v>
      </c>
      <c r="T40" s="114" t="s">
        <v>329</v>
      </c>
      <c r="U40" s="363">
        <f>IFERROR(INDEX('G-7 WaterC'' Data'!$H$4:$L$8,MATCH(N40,'G-7 WaterC'' Data'!$B$4:$B$8,0),MATCH(T40,'G-7 WaterC'' Data'!$H$3:$L$3,0)),"")</f>
        <v>1</v>
      </c>
      <c r="V40" s="114" t="s">
        <v>1029</v>
      </c>
      <c r="W40" s="370" t="str">
        <f>IF(V40="","",IF(VLOOKUP(V40,'G-7 WaterC'' Data'!$AK$4:$AM$6,2,FALSE)=0,"Spatial Data Missing ⚠",VLOOKUP(V40,'G-7 WaterC'' Data'!$AK$4:$AM$6,2,FALSE)))</f>
        <v xml:space="preserve">High strategic significance </v>
      </c>
      <c r="X40" s="363">
        <f>IF(V40="","",IF(VLOOKUP(V40,'G-7 WaterC'' Data'!$AK$4:$AM$6,3,FALSE)=0,"Spatial Data Missing ⚠",VLOOKUP(V40,'G-7 WaterC'' Data'!$AK$4:$AM$6,3,FALSE)))</f>
        <v>1.1499999999999999</v>
      </c>
      <c r="Y40" s="362">
        <f>IFERROR(IF(OR(LEFT(P40,5)="Error",LEFT(O40,5)="Error ▲"),"Check Data ⚠",IF(F40&lt;S40,'G-7 WaterC'' Data'!$R$3,INDEX('G-7 WaterC'' Data'!$U$5:$Y$9,MATCH(G40,'G-7 WaterC'' Data'!$T$5:$T$9,0),MATCH(T40,'G-7 WaterC'' Data'!$U$4:$Y$4,0)))),"")</f>
        <v>1</v>
      </c>
      <c r="Z40" s="159">
        <v>0</v>
      </c>
      <c r="AA40" s="159">
        <v>0</v>
      </c>
      <c r="AB40" s="370" t="str">
        <f t="shared" si="3"/>
        <v>Standard time to target condition applied</v>
      </c>
      <c r="AC40" s="383">
        <f t="shared" si="4"/>
        <v>1</v>
      </c>
      <c r="AD40" s="422">
        <f>IFERROR(IF(AC40="Check Data ⚠","Check Data ⚠",VLOOKUP(AC40,'G-4 Temporal multipliers'!$A$4:$C$37,3,FALSE)),"")</f>
        <v>0.96499999999999997</v>
      </c>
      <c r="AE40" s="362" t="str">
        <f>IF(N40="","",VLOOKUP(N40,'G-7 WaterC'' Data'!$B$4:$G$8,5,FALSE))</f>
        <v>Medium</v>
      </c>
      <c r="AF40" s="370" t="str">
        <f t="shared" si="5"/>
        <v>Standard difficulty applied</v>
      </c>
      <c r="AG40" s="401" t="str">
        <f t="shared" si="6"/>
        <v>Medium</v>
      </c>
      <c r="AH40" s="363">
        <f t="shared" si="1"/>
        <v>0.67</v>
      </c>
      <c r="AI40" s="122" t="s">
        <v>1126</v>
      </c>
      <c r="AJ40" s="363">
        <f>IF(AI40="","",IF(VLOOKUP(AI40,'G-7 WaterC'' Data'!$AA$4:$AB$7,2,FALSE)=0,"Spatial Data Missing ⚠",VLOOKUP(AI40,'G-7 WaterC'' Data'!$AA$4:$AB$7,2,FALSE)))</f>
        <v>1</v>
      </c>
      <c r="AK40" s="123" t="s">
        <v>1153</v>
      </c>
      <c r="AL40" s="363">
        <f>IF(AK40="","",IF(VLOOKUP(AK40,'G-7 WaterC'' Data'!$AD$4:$AE$14,2,FALSE)=0,"Spatial Data Missing ⚠",VLOOKUP(AK40,'G-7 WaterC'' Data'!$AD$4:$AE$14,2,FALSE)))</f>
        <v>1</v>
      </c>
      <c r="AM40" s="405">
        <f t="shared" si="7"/>
        <v>3.5176379550386341</v>
      </c>
      <c r="AN40" s="117"/>
      <c r="AO40" s="118"/>
      <c r="AP40" s="120" t="s">
        <v>2034</v>
      </c>
      <c r="AV40" s="30" t="str">
        <f>IFERROR(INDEX('G-7 WaterC'' Data'!$AZ$3:$AZ$7,MATCH(N40,'G-7 WaterC'' Data'!$AY$3:$AY$7,0)),"")</f>
        <v>Rivercond1</v>
      </c>
    </row>
    <row r="41" spans="2:48" ht="28.5" x14ac:dyDescent="0.2">
      <c r="B41" s="392">
        <f>'C-1 On-Site WaterC'' Baseline'!AO39</f>
        <v>35</v>
      </c>
      <c r="C41" s="382" t="str">
        <f>IF(B41="","",VLOOKUP($B41,'C-1 On-Site WaterC'' Baseline'!$C$9:$R$257,2,FALSE))</f>
        <v>Ditches</v>
      </c>
      <c r="D41" s="382">
        <f>IF(C41="","",VLOOKUP($B41,'C-1 On-Site WaterC'' Baseline'!$C$9:$R$257,3,FALSE))</f>
        <v>0.10016464276554626</v>
      </c>
      <c r="E41" s="382" t="str">
        <f>IF(D41="","",VLOOKUP($B41,'C-1 On-Site WaterC'' Baseline'!$C$9:$R$257,4,FALSE))</f>
        <v>Medium</v>
      </c>
      <c r="F41" s="382">
        <f>IF(E41="","",VLOOKUP($B41,'C-1 On-Site WaterC'' Baseline'!$C$9:$R$257,5,FALSE))</f>
        <v>4</v>
      </c>
      <c r="G41" s="382" t="str">
        <f>IF(F41="","",VLOOKUP($B41,'C-1 On-Site WaterC'' Baseline'!$C$9:$R$257,6,FALSE))</f>
        <v>Poor</v>
      </c>
      <c r="H41" s="382">
        <f>IF(G41="","",VLOOKUP($B41,'C-1 On-Site WaterC'' Baseline'!$C$9:$R$257,7,FALSE))</f>
        <v>1</v>
      </c>
      <c r="I41" s="382" t="str">
        <f>IF(H41="","",VLOOKUP($B41,'C-1 On-Site WaterC'' Baseline'!$C$9:$R$257,8,FALSE))</f>
        <v>Formally identified in local strategy</v>
      </c>
      <c r="J41" s="382" t="str">
        <f>IF(I41="","",VLOOKUP($B41,'C-1 On-Site WaterC'' Baseline'!$C$9:$R$257,9,FALSE))</f>
        <v xml:space="preserve">High strategic significance </v>
      </c>
      <c r="K41" s="382">
        <f>IF(J41="","",VLOOKUP($B41,'C-1 On-Site WaterC'' Baseline'!$C$9:$R$257,10,FALSE))</f>
        <v>1.1499999999999999</v>
      </c>
      <c r="L41" s="382" t="str">
        <f>IF(B41="","",VLOOKUP($B41,'C-1 On-Site WaterC'' Baseline'!$C$9:$R$257,15,FALSE))</f>
        <v>Same habitat required =</v>
      </c>
      <c r="M41" s="386">
        <f>IF(L41="","",VLOOKUP($B41,'C-1 On-Site WaterC'' Baseline'!$C$9:$R$257,16,FALSE))</f>
        <v>0.34556801754113459</v>
      </c>
      <c r="N41" s="320" t="str">
        <f t="shared" si="0"/>
        <v>Ditches</v>
      </c>
      <c r="O41" s="362" t="str">
        <f t="shared" si="2"/>
        <v>Medium - Medium</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Poor - Poor</v>
      </c>
      <c r="Q41" s="425">
        <f>IF(N41="","",VLOOKUP(B41,'C-1 On-Site WaterC'' Baseline'!$C$10:$AB$257,19,FALSE))</f>
        <v>0.10016464276554626</v>
      </c>
      <c r="R41" s="362" t="str">
        <f>IF(N41="","",VLOOKUP(N41,'G-7 WaterC'' Data'!$B$2:$G$8,2,FALSE))</f>
        <v>Medium</v>
      </c>
      <c r="S41" s="363">
        <f>IFERROR(VLOOKUP(R41,'G-7 WaterC'' Data'!$C$4:$D$8,2,FALSE),"")</f>
        <v>4</v>
      </c>
      <c r="T41" s="114" t="s">
        <v>329</v>
      </c>
      <c r="U41" s="363">
        <f>IFERROR(INDEX('G-7 WaterC'' Data'!$H$4:$L$8,MATCH(N41,'G-7 WaterC'' Data'!$B$4:$B$8,0),MATCH(T41,'G-7 WaterC'' Data'!$H$3:$L$3,0)),"")</f>
        <v>1</v>
      </c>
      <c r="V41" s="114" t="s">
        <v>1029</v>
      </c>
      <c r="W41" s="370" t="str">
        <f>IF(V41="","",IF(VLOOKUP(V41,'G-7 WaterC'' Data'!$AK$4:$AM$6,2,FALSE)=0,"Spatial Data Missing ⚠",VLOOKUP(V41,'G-7 WaterC'' Data'!$AK$4:$AM$6,2,FALSE)))</f>
        <v xml:space="preserve">High strategic significance </v>
      </c>
      <c r="X41" s="363">
        <f>IF(V41="","",IF(VLOOKUP(V41,'G-7 WaterC'' Data'!$AK$4:$AM$6,3,FALSE)=0,"Spatial Data Missing ⚠",VLOOKUP(V41,'G-7 WaterC'' Data'!$AK$4:$AM$6,3,FALSE)))</f>
        <v>1.1499999999999999</v>
      </c>
      <c r="Y41" s="362">
        <f>IFERROR(IF(OR(LEFT(P41,5)="Error",LEFT(O41,5)="Error ▲"),"Check Data ⚠",IF(F41&lt;S41,'G-7 WaterC'' Data'!$R$3,INDEX('G-7 WaterC'' Data'!$U$5:$Y$9,MATCH(G41,'G-7 WaterC'' Data'!$T$5:$T$9,0),MATCH(T41,'G-7 WaterC'' Data'!$U$4:$Y$4,0)))),"")</f>
        <v>1</v>
      </c>
      <c r="Z41" s="159">
        <v>0</v>
      </c>
      <c r="AA41" s="159">
        <v>0</v>
      </c>
      <c r="AB41" s="370" t="str">
        <f t="shared" si="3"/>
        <v>Standard time to target condition applied</v>
      </c>
      <c r="AC41" s="383">
        <f t="shared" si="4"/>
        <v>1</v>
      </c>
      <c r="AD41" s="422">
        <f>IFERROR(IF(AC41="Check Data ⚠","Check Data ⚠",VLOOKUP(AC41,'G-4 Temporal multipliers'!$A$4:$C$37,3,FALSE)),"")</f>
        <v>0.96499999999999997</v>
      </c>
      <c r="AE41" s="362" t="str">
        <f>IF(N41="","",VLOOKUP(N41,'G-7 WaterC'' Data'!$B$4:$G$8,5,FALSE))</f>
        <v>Medium</v>
      </c>
      <c r="AF41" s="370" t="str">
        <f t="shared" si="5"/>
        <v>Standard difficulty applied</v>
      </c>
      <c r="AG41" s="401" t="str">
        <f t="shared" si="6"/>
        <v>Medium</v>
      </c>
      <c r="AH41" s="363">
        <f t="shared" si="1"/>
        <v>0.67</v>
      </c>
      <c r="AI41" s="122" t="s">
        <v>1126</v>
      </c>
      <c r="AJ41" s="363">
        <f>IF(AI41="","",IF(VLOOKUP(AI41,'G-7 WaterC'' Data'!$AA$4:$AB$7,2,FALSE)=0,"Spatial Data Missing ⚠",VLOOKUP(AI41,'G-7 WaterC'' Data'!$AA$4:$AB$7,2,FALSE)))</f>
        <v>1</v>
      </c>
      <c r="AK41" s="123" t="s">
        <v>1153</v>
      </c>
      <c r="AL41" s="363">
        <f>IF(AK41="","",IF(VLOOKUP(AK41,'G-7 WaterC'' Data'!$AD$4:$AE$14,2,FALSE)=0,"Spatial Data Missing ⚠",VLOOKUP(AK41,'G-7 WaterC'' Data'!$AD$4:$AE$14,2,FALSE)))</f>
        <v>1</v>
      </c>
      <c r="AM41" s="405">
        <f t="shared" si="7"/>
        <v>0.4607573567215128</v>
      </c>
      <c r="AN41" s="117"/>
      <c r="AO41" s="118"/>
      <c r="AP41" s="120" t="s">
        <v>2036</v>
      </c>
      <c r="AV41" s="30" t="str">
        <f>IFERROR(INDEX('G-7 WaterC'' Data'!$AZ$3:$AZ$7,MATCH(N41,'G-7 WaterC'' Data'!$AY$3:$AY$7,0)),"")</f>
        <v>Rivercond1</v>
      </c>
    </row>
    <row r="42" spans="2:48" ht="28.5" x14ac:dyDescent="0.2">
      <c r="B42" s="392">
        <f>'C-1 On-Site WaterC'' Baseline'!AO40</f>
        <v>36</v>
      </c>
      <c r="C42" s="382" t="str">
        <f>IF(B42="","",VLOOKUP($B42,'C-1 On-Site WaterC'' Baseline'!$C$9:$R$257,2,FALSE))</f>
        <v>Ditches</v>
      </c>
      <c r="D42" s="382">
        <f>IF(C42="","",VLOOKUP($B42,'C-1 On-Site WaterC'' Baseline'!$C$9:$R$257,3,FALSE))</f>
        <v>0.35987244057017564</v>
      </c>
      <c r="E42" s="382" t="str">
        <f>IF(D42="","",VLOOKUP($B42,'C-1 On-Site WaterC'' Baseline'!$C$9:$R$257,4,FALSE))</f>
        <v>Medium</v>
      </c>
      <c r="F42" s="382">
        <f>IF(E42="","",VLOOKUP($B42,'C-1 On-Site WaterC'' Baseline'!$C$9:$R$257,5,FALSE))</f>
        <v>4</v>
      </c>
      <c r="G42" s="382" t="str">
        <f>IF(F42="","",VLOOKUP($B42,'C-1 On-Site WaterC'' Baseline'!$C$9:$R$257,6,FALSE))</f>
        <v>Poor</v>
      </c>
      <c r="H42" s="382">
        <f>IF(G42="","",VLOOKUP($B42,'C-1 On-Site WaterC'' Baseline'!$C$9:$R$257,7,FALSE))</f>
        <v>1</v>
      </c>
      <c r="I42" s="382" t="str">
        <f>IF(H42="","",VLOOKUP($B42,'C-1 On-Site WaterC'' Baseline'!$C$9:$R$257,8,FALSE))</f>
        <v>Area/compensation not in local strategy/ no local strategy</v>
      </c>
      <c r="J42" s="382" t="str">
        <f>IF(I42="","",VLOOKUP($B42,'C-1 On-Site WaterC'' Baseline'!$C$9:$R$257,9,FALSE))</f>
        <v>Low Strategic Significance</v>
      </c>
      <c r="K42" s="382">
        <f>IF(J42="","",VLOOKUP($B42,'C-1 On-Site WaterC'' Baseline'!$C$9:$R$257,10,FALSE))</f>
        <v>1</v>
      </c>
      <c r="L42" s="382" t="str">
        <f>IF(B42="","",VLOOKUP($B42,'C-1 On-Site WaterC'' Baseline'!$C$9:$R$257,15,FALSE))</f>
        <v>Same habitat required =</v>
      </c>
      <c r="M42" s="386">
        <f>IF(L42="","",VLOOKUP($B42,'C-1 On-Site WaterC'' Baseline'!$C$9:$R$257,16,FALSE))</f>
        <v>1.0796173217105269</v>
      </c>
      <c r="N42" s="320" t="str">
        <f t="shared" si="0"/>
        <v>Ditches</v>
      </c>
      <c r="O42" s="362" t="str">
        <f t="shared" si="2"/>
        <v>Medium - Medium</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Poor - Poor</v>
      </c>
      <c r="Q42" s="425">
        <f>IF(N42="","",VLOOKUP(B42,'C-1 On-Site WaterC'' Baseline'!$C$10:$AB$257,19,FALSE))</f>
        <v>0.35987244057017564</v>
      </c>
      <c r="R42" s="362" t="str">
        <f>IF(N42="","",VLOOKUP(N42,'G-7 WaterC'' Data'!$B$2:$G$8,2,FALSE))</f>
        <v>Medium</v>
      </c>
      <c r="S42" s="363">
        <f>IFERROR(VLOOKUP(R42,'G-7 WaterC'' Data'!$C$4:$D$8,2,FALSE),"")</f>
        <v>4</v>
      </c>
      <c r="T42" s="114" t="s">
        <v>329</v>
      </c>
      <c r="U42" s="363">
        <f>IFERROR(INDEX('G-7 WaterC'' Data'!$H$4:$L$8,MATCH(N42,'G-7 WaterC'' Data'!$B$4:$B$8,0),MATCH(T42,'G-7 WaterC'' Data'!$H$3:$L$3,0)),"")</f>
        <v>1</v>
      </c>
      <c r="V42" s="114" t="s">
        <v>1037</v>
      </c>
      <c r="W42" s="370" t="str">
        <f>IF(V42="","",IF(VLOOKUP(V42,'G-7 WaterC'' Data'!$AK$4:$AM$6,2,FALSE)=0,"Spatial Data Missing ⚠",VLOOKUP(V42,'G-7 WaterC'' Data'!$AK$4:$AM$6,2,FALSE)))</f>
        <v>Low Strategic Significance</v>
      </c>
      <c r="X42" s="363">
        <f>IF(V42="","",IF(VLOOKUP(V42,'G-7 WaterC'' Data'!$AK$4:$AM$6,3,FALSE)=0,"Spatial Data Missing ⚠",VLOOKUP(V42,'G-7 WaterC'' Data'!$AK$4:$AM$6,3,FALSE)))</f>
        <v>1</v>
      </c>
      <c r="Y42" s="362">
        <f>IFERROR(IF(OR(LEFT(P42,5)="Error",LEFT(O42,5)="Error ▲"),"Check Data ⚠",IF(F42&lt;S42,'G-7 WaterC'' Data'!$R$3,INDEX('G-7 WaterC'' Data'!$U$5:$Y$9,MATCH(G42,'G-7 WaterC'' Data'!$T$5:$T$9,0),MATCH(T42,'G-7 WaterC'' Data'!$U$4:$Y$4,0)))),"")</f>
        <v>1</v>
      </c>
      <c r="Z42" s="159">
        <v>0</v>
      </c>
      <c r="AA42" s="159">
        <v>0</v>
      </c>
      <c r="AB42" s="370" t="str">
        <f t="shared" si="3"/>
        <v>Standard time to target condition applied</v>
      </c>
      <c r="AC42" s="383">
        <f t="shared" si="4"/>
        <v>1</v>
      </c>
      <c r="AD42" s="422">
        <f>IFERROR(IF(AC42="Check Data ⚠","Check Data ⚠",VLOOKUP(AC42,'G-4 Temporal multipliers'!$A$4:$C$37,3,FALSE)),"")</f>
        <v>0.96499999999999997</v>
      </c>
      <c r="AE42" s="362" t="str">
        <f>IF(N42="","",VLOOKUP(N42,'G-7 WaterC'' Data'!$B$4:$G$8,5,FALSE))</f>
        <v>Medium</v>
      </c>
      <c r="AF42" s="370" t="str">
        <f t="shared" si="5"/>
        <v>Standard difficulty applied</v>
      </c>
      <c r="AG42" s="401" t="str">
        <f t="shared" si="6"/>
        <v>Medium</v>
      </c>
      <c r="AH42" s="363">
        <f t="shared" si="1"/>
        <v>0.67</v>
      </c>
      <c r="AI42" s="122" t="s">
        <v>1126</v>
      </c>
      <c r="AJ42" s="363">
        <f>IF(AI42="","",IF(VLOOKUP(AI42,'G-7 WaterC'' Data'!$AA$4:$AB$7,2,FALSE)=0,"Spatial Data Missing ⚠",VLOOKUP(AI42,'G-7 WaterC'' Data'!$AA$4:$AB$7,2,FALSE)))</f>
        <v>1</v>
      </c>
      <c r="AK42" s="123" t="s">
        <v>1153</v>
      </c>
      <c r="AL42" s="363">
        <f>IF(AK42="","",IF(VLOOKUP(AK42,'G-7 WaterC'' Data'!$AD$4:$AE$14,2,FALSE)=0,"Spatial Data Missing ⚠",VLOOKUP(AK42,'G-7 WaterC'' Data'!$AD$4:$AE$14,2,FALSE)))</f>
        <v>1</v>
      </c>
      <c r="AM42" s="405">
        <f t="shared" si="7"/>
        <v>1.4394897622807026</v>
      </c>
      <c r="AN42" s="117"/>
      <c r="AO42" s="118"/>
      <c r="AP42" s="120" t="s">
        <v>2037</v>
      </c>
      <c r="AV42" s="30" t="str">
        <f>IFERROR(INDEX('G-7 WaterC'' Data'!$AZ$3:$AZ$7,MATCH(N42,'G-7 WaterC'' Data'!$AY$3:$AY$7,0)),"")</f>
        <v>Rivercond1</v>
      </c>
    </row>
    <row r="43" spans="2:48" ht="28.5" x14ac:dyDescent="0.2">
      <c r="B43" s="392">
        <f>'C-1 On-Site WaterC'' Baseline'!AO41</f>
        <v>37</v>
      </c>
      <c r="C43" s="382" t="str">
        <f>IF(B43="","",VLOOKUP($B43,'C-1 On-Site WaterC'' Baseline'!$C$9:$R$257,2,FALSE))</f>
        <v>Ditches</v>
      </c>
      <c r="D43" s="382">
        <f>IF(C43="","",VLOOKUP($B43,'C-1 On-Site WaterC'' Baseline'!$C$9:$R$257,3,FALSE))</f>
        <v>6.7385369603486719E-2</v>
      </c>
      <c r="E43" s="382" t="str">
        <f>IF(D43="","",VLOOKUP($B43,'C-1 On-Site WaterC'' Baseline'!$C$9:$R$257,4,FALSE))</f>
        <v>Medium</v>
      </c>
      <c r="F43" s="382">
        <f>IF(E43="","",VLOOKUP($B43,'C-1 On-Site WaterC'' Baseline'!$C$9:$R$257,5,FALSE))</f>
        <v>4</v>
      </c>
      <c r="G43" s="382" t="str">
        <f>IF(F43="","",VLOOKUP($B43,'C-1 On-Site WaterC'' Baseline'!$C$9:$R$257,6,FALSE))</f>
        <v>Poor</v>
      </c>
      <c r="H43" s="382">
        <f>IF(G43="","",VLOOKUP($B43,'C-1 On-Site WaterC'' Baseline'!$C$9:$R$257,7,FALSE))</f>
        <v>1</v>
      </c>
      <c r="I43" s="382" t="str">
        <f>IF(H43="","",VLOOKUP($B43,'C-1 On-Site WaterC'' Baseline'!$C$9:$R$257,8,FALSE))</f>
        <v>Formally identified in local strategy</v>
      </c>
      <c r="J43" s="382" t="str">
        <f>IF(I43="","",VLOOKUP($B43,'C-1 On-Site WaterC'' Baseline'!$C$9:$R$257,9,FALSE))</f>
        <v xml:space="preserve">High strategic significance </v>
      </c>
      <c r="K43" s="382">
        <f>IF(J43="","",VLOOKUP($B43,'C-1 On-Site WaterC'' Baseline'!$C$9:$R$257,10,FALSE))</f>
        <v>1.1499999999999999</v>
      </c>
      <c r="L43" s="382" t="str">
        <f>IF(B43="","",VLOOKUP($B43,'C-1 On-Site WaterC'' Baseline'!$C$9:$R$257,15,FALSE))</f>
        <v>Same habitat required =</v>
      </c>
      <c r="M43" s="386">
        <f>IF(L43="","",VLOOKUP($B43,'C-1 On-Site WaterC'' Baseline'!$C$9:$R$257,16,FALSE))</f>
        <v>0.23247952513202919</v>
      </c>
      <c r="N43" s="320" t="str">
        <f t="shared" si="0"/>
        <v>Ditches</v>
      </c>
      <c r="O43" s="362" t="str">
        <f t="shared" si="2"/>
        <v>Medium - Medium</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Poor - Poor</v>
      </c>
      <c r="Q43" s="425">
        <f>IF(N43="","",VLOOKUP(B43,'C-1 On-Site WaterC'' Baseline'!$C$10:$AB$257,19,FALSE))</f>
        <v>6.7385369603486719E-2</v>
      </c>
      <c r="R43" s="362" t="str">
        <f>IF(N43="","",VLOOKUP(N43,'G-7 WaterC'' Data'!$B$2:$G$8,2,FALSE))</f>
        <v>Medium</v>
      </c>
      <c r="S43" s="363">
        <f>IFERROR(VLOOKUP(R43,'G-7 WaterC'' Data'!$C$4:$D$8,2,FALSE),"")</f>
        <v>4</v>
      </c>
      <c r="T43" s="114" t="s">
        <v>329</v>
      </c>
      <c r="U43" s="363">
        <f>IFERROR(INDEX('G-7 WaterC'' Data'!$H$4:$L$8,MATCH(N43,'G-7 WaterC'' Data'!$B$4:$B$8,0),MATCH(T43,'G-7 WaterC'' Data'!$H$3:$L$3,0)),"")</f>
        <v>1</v>
      </c>
      <c r="V43" s="114" t="s">
        <v>1029</v>
      </c>
      <c r="W43" s="370" t="str">
        <f>IF(V43="","",IF(VLOOKUP(V43,'G-7 WaterC'' Data'!$AK$4:$AM$6,2,FALSE)=0,"Spatial Data Missing ⚠",VLOOKUP(V43,'G-7 WaterC'' Data'!$AK$4:$AM$6,2,FALSE)))</f>
        <v xml:space="preserve">High strategic significance </v>
      </c>
      <c r="X43" s="363">
        <f>IF(V43="","",IF(VLOOKUP(V43,'G-7 WaterC'' Data'!$AK$4:$AM$6,3,FALSE)=0,"Spatial Data Missing ⚠",VLOOKUP(V43,'G-7 WaterC'' Data'!$AK$4:$AM$6,3,FALSE)))</f>
        <v>1.1499999999999999</v>
      </c>
      <c r="Y43" s="362">
        <f>IFERROR(IF(OR(LEFT(P43,5)="Error",LEFT(O43,5)="Error ▲"),"Check Data ⚠",IF(F43&lt;S43,'G-7 WaterC'' Data'!$R$3,INDEX('G-7 WaterC'' Data'!$U$5:$Y$9,MATCH(G43,'G-7 WaterC'' Data'!$T$5:$T$9,0),MATCH(T43,'G-7 WaterC'' Data'!$U$4:$Y$4,0)))),"")</f>
        <v>1</v>
      </c>
      <c r="Z43" s="159">
        <v>0</v>
      </c>
      <c r="AA43" s="159">
        <v>0</v>
      </c>
      <c r="AB43" s="370" t="str">
        <f t="shared" si="3"/>
        <v>Standard time to target condition applied</v>
      </c>
      <c r="AC43" s="383">
        <f t="shared" si="4"/>
        <v>1</v>
      </c>
      <c r="AD43" s="422">
        <f>IFERROR(IF(AC43="Check Data ⚠","Check Data ⚠",VLOOKUP(AC43,'G-4 Temporal multipliers'!$A$4:$C$37,3,FALSE)),"")</f>
        <v>0.96499999999999997</v>
      </c>
      <c r="AE43" s="362" t="str">
        <f>IF(N43="","",VLOOKUP(N43,'G-7 WaterC'' Data'!$B$4:$G$8,5,FALSE))</f>
        <v>Medium</v>
      </c>
      <c r="AF43" s="370" t="str">
        <f t="shared" si="5"/>
        <v>Standard difficulty applied</v>
      </c>
      <c r="AG43" s="401" t="str">
        <f t="shared" si="6"/>
        <v>Medium</v>
      </c>
      <c r="AH43" s="363">
        <f t="shared" si="1"/>
        <v>0.67</v>
      </c>
      <c r="AI43" s="122" t="s">
        <v>1126</v>
      </c>
      <c r="AJ43" s="363">
        <f>IF(AI43="","",IF(VLOOKUP(AI43,'G-7 WaterC'' Data'!$AA$4:$AB$7,2,FALSE)=0,"Spatial Data Missing ⚠",VLOOKUP(AI43,'G-7 WaterC'' Data'!$AA$4:$AB$7,2,FALSE)))</f>
        <v>1</v>
      </c>
      <c r="AK43" s="123" t="s">
        <v>1153</v>
      </c>
      <c r="AL43" s="363">
        <f>IF(AK43="","",IF(VLOOKUP(AK43,'G-7 WaterC'' Data'!$AD$4:$AE$14,2,FALSE)=0,"Spatial Data Missing ⚠",VLOOKUP(AK43,'G-7 WaterC'' Data'!$AD$4:$AE$14,2,FALSE)))</f>
        <v>1</v>
      </c>
      <c r="AM43" s="405">
        <f t="shared" si="7"/>
        <v>0.3099727001760389</v>
      </c>
      <c r="AN43" s="117"/>
      <c r="AO43" s="118"/>
      <c r="AP43" s="120" t="s">
        <v>2038</v>
      </c>
      <c r="AV43" s="30" t="str">
        <f>IFERROR(INDEX('G-7 WaterC'' Data'!$AZ$3:$AZ$7,MATCH(N43,'G-7 WaterC'' Data'!$AY$3:$AY$7,0)),"")</f>
        <v>Rivercond1</v>
      </c>
    </row>
    <row r="44" spans="2:48" ht="28.5" x14ac:dyDescent="0.2">
      <c r="B44" s="392">
        <f>'C-1 On-Site WaterC'' Baseline'!AO42</f>
        <v>38</v>
      </c>
      <c r="C44" s="382" t="str">
        <f>IF(B44="","",VLOOKUP($B44,'C-1 On-Site WaterC'' Baseline'!$C$9:$R$257,2,FALSE))</f>
        <v>Ditches</v>
      </c>
      <c r="D44" s="382">
        <f>IF(C44="","",VLOOKUP($B44,'C-1 On-Site WaterC'' Baseline'!$C$9:$R$257,3,FALSE))</f>
        <v>0.41280346129547063</v>
      </c>
      <c r="E44" s="382" t="str">
        <f>IF(D44="","",VLOOKUP($B44,'C-1 On-Site WaterC'' Baseline'!$C$9:$R$257,4,FALSE))</f>
        <v>Medium</v>
      </c>
      <c r="F44" s="382">
        <f>IF(E44="","",VLOOKUP($B44,'C-1 On-Site WaterC'' Baseline'!$C$9:$R$257,5,FALSE))</f>
        <v>4</v>
      </c>
      <c r="G44" s="382" t="str">
        <f>IF(F44="","",VLOOKUP($B44,'C-1 On-Site WaterC'' Baseline'!$C$9:$R$257,6,FALSE))</f>
        <v>Poor</v>
      </c>
      <c r="H44" s="382">
        <f>IF(G44="","",VLOOKUP($B44,'C-1 On-Site WaterC'' Baseline'!$C$9:$R$257,7,FALSE))</f>
        <v>1</v>
      </c>
      <c r="I44" s="382" t="str">
        <f>IF(H44="","",VLOOKUP($B44,'C-1 On-Site WaterC'' Baseline'!$C$9:$R$257,8,FALSE))</f>
        <v>Area/compensation not in local strategy/ no local strategy</v>
      </c>
      <c r="J44" s="382" t="str">
        <f>IF(I44="","",VLOOKUP($B44,'C-1 On-Site WaterC'' Baseline'!$C$9:$R$257,9,FALSE))</f>
        <v>Low Strategic Significance</v>
      </c>
      <c r="K44" s="382">
        <f>IF(J44="","",VLOOKUP($B44,'C-1 On-Site WaterC'' Baseline'!$C$9:$R$257,10,FALSE))</f>
        <v>1</v>
      </c>
      <c r="L44" s="382" t="str">
        <f>IF(B44="","",VLOOKUP($B44,'C-1 On-Site WaterC'' Baseline'!$C$9:$R$257,15,FALSE))</f>
        <v>Same habitat required =</v>
      </c>
      <c r="M44" s="386">
        <f>IF(L44="","",VLOOKUP($B44,'C-1 On-Site WaterC'' Baseline'!$C$9:$R$257,16,FALSE))</f>
        <v>1.238410383886412</v>
      </c>
      <c r="N44" s="320" t="str">
        <f t="shared" si="0"/>
        <v>Ditches</v>
      </c>
      <c r="O44" s="362" t="str">
        <f t="shared" si="2"/>
        <v>Medium - Medium</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Poor - Poor</v>
      </c>
      <c r="Q44" s="425">
        <f>IF(N44="","",VLOOKUP(B44,'C-1 On-Site WaterC'' Baseline'!$C$10:$AB$257,19,FALSE))</f>
        <v>0.41280346129547063</v>
      </c>
      <c r="R44" s="362" t="str">
        <f>IF(N44="","",VLOOKUP(N44,'G-7 WaterC'' Data'!$B$2:$G$8,2,FALSE))</f>
        <v>Medium</v>
      </c>
      <c r="S44" s="363">
        <f>IFERROR(VLOOKUP(R44,'G-7 WaterC'' Data'!$C$4:$D$8,2,FALSE),"")</f>
        <v>4</v>
      </c>
      <c r="T44" s="114" t="s">
        <v>329</v>
      </c>
      <c r="U44" s="363">
        <f>IFERROR(INDEX('G-7 WaterC'' Data'!$H$4:$L$8,MATCH(N44,'G-7 WaterC'' Data'!$B$4:$B$8,0),MATCH(T44,'G-7 WaterC'' Data'!$H$3:$L$3,0)),"")</f>
        <v>1</v>
      </c>
      <c r="V44" s="114" t="s">
        <v>1037</v>
      </c>
      <c r="W44" s="370" t="str">
        <f>IF(V44="","",IF(VLOOKUP(V44,'G-7 WaterC'' Data'!$AK$4:$AM$6,2,FALSE)=0,"Spatial Data Missing ⚠",VLOOKUP(V44,'G-7 WaterC'' Data'!$AK$4:$AM$6,2,FALSE)))</f>
        <v>Low Strategic Significance</v>
      </c>
      <c r="X44" s="363">
        <f>IF(V44="","",IF(VLOOKUP(V44,'G-7 WaterC'' Data'!$AK$4:$AM$6,3,FALSE)=0,"Spatial Data Missing ⚠",VLOOKUP(V44,'G-7 WaterC'' Data'!$AK$4:$AM$6,3,FALSE)))</f>
        <v>1</v>
      </c>
      <c r="Y44" s="362">
        <f>IFERROR(IF(OR(LEFT(P44,5)="Error",LEFT(O44,5)="Error ▲"),"Check Data ⚠",IF(F44&lt;S44,'G-7 WaterC'' Data'!$R$3,INDEX('G-7 WaterC'' Data'!$U$5:$Y$9,MATCH(G44,'G-7 WaterC'' Data'!$T$5:$T$9,0),MATCH(T44,'G-7 WaterC'' Data'!$U$4:$Y$4,0)))),"")</f>
        <v>1</v>
      </c>
      <c r="Z44" s="159">
        <v>0</v>
      </c>
      <c r="AA44" s="159">
        <v>0</v>
      </c>
      <c r="AB44" s="370" t="str">
        <f t="shared" si="3"/>
        <v>Standard time to target condition applied</v>
      </c>
      <c r="AC44" s="383">
        <f t="shared" si="4"/>
        <v>1</v>
      </c>
      <c r="AD44" s="422">
        <f>IFERROR(IF(AC44="Check Data ⚠","Check Data ⚠",VLOOKUP(AC44,'G-4 Temporal multipliers'!$A$4:$C$37,3,FALSE)),"")</f>
        <v>0.96499999999999997</v>
      </c>
      <c r="AE44" s="362" t="str">
        <f>IF(N44="","",VLOOKUP(N44,'G-7 WaterC'' Data'!$B$4:$G$8,5,FALSE))</f>
        <v>Medium</v>
      </c>
      <c r="AF44" s="370" t="str">
        <f t="shared" si="5"/>
        <v>Standard difficulty applied</v>
      </c>
      <c r="AG44" s="401" t="str">
        <f t="shared" si="6"/>
        <v>Medium</v>
      </c>
      <c r="AH44" s="363">
        <f t="shared" si="1"/>
        <v>0.67</v>
      </c>
      <c r="AI44" s="122" t="s">
        <v>1126</v>
      </c>
      <c r="AJ44" s="363">
        <f>IF(AI44="","",IF(VLOOKUP(AI44,'G-7 WaterC'' Data'!$AA$4:$AB$7,2,FALSE)=0,"Spatial Data Missing ⚠",VLOOKUP(AI44,'G-7 WaterC'' Data'!$AA$4:$AB$7,2,FALSE)))</f>
        <v>1</v>
      </c>
      <c r="AK44" s="123" t="s">
        <v>1153</v>
      </c>
      <c r="AL44" s="363">
        <f>IF(AK44="","",IF(VLOOKUP(AK44,'G-7 WaterC'' Data'!$AD$4:$AE$14,2,FALSE)=0,"Spatial Data Missing ⚠",VLOOKUP(AK44,'G-7 WaterC'' Data'!$AD$4:$AE$14,2,FALSE)))</f>
        <v>1</v>
      </c>
      <c r="AM44" s="405">
        <f t="shared" si="7"/>
        <v>1.6512138451818825</v>
      </c>
      <c r="AN44" s="117"/>
      <c r="AO44" s="118"/>
      <c r="AP44" s="120" t="s">
        <v>2039</v>
      </c>
      <c r="AV44" s="30" t="str">
        <f>IFERROR(INDEX('G-7 WaterC'' Data'!$AZ$3:$AZ$7,MATCH(N44,'G-7 WaterC'' Data'!$AY$3:$AY$7,0)),"")</f>
        <v>Rivercond1</v>
      </c>
    </row>
    <row r="45" spans="2:48" ht="28.5" x14ac:dyDescent="0.2">
      <c r="B45" s="392">
        <f>'C-1 On-Site WaterC'' Baseline'!AO43</f>
        <v>39</v>
      </c>
      <c r="C45" s="382" t="str">
        <f>IF(B45="","",VLOOKUP($B45,'C-1 On-Site WaterC'' Baseline'!$C$9:$R$257,2,FALSE))</f>
        <v>Ditches</v>
      </c>
      <c r="D45" s="382">
        <f>IF(C45="","",VLOOKUP($B45,'C-1 On-Site WaterC'' Baseline'!$C$9:$R$257,3,FALSE))</f>
        <v>0.11896769908991632</v>
      </c>
      <c r="E45" s="382" t="str">
        <f>IF(D45="","",VLOOKUP($B45,'C-1 On-Site WaterC'' Baseline'!$C$9:$R$257,4,FALSE))</f>
        <v>Medium</v>
      </c>
      <c r="F45" s="382">
        <f>IF(E45="","",VLOOKUP($B45,'C-1 On-Site WaterC'' Baseline'!$C$9:$R$257,5,FALSE))</f>
        <v>4</v>
      </c>
      <c r="G45" s="382" t="str">
        <f>IF(F45="","",VLOOKUP($B45,'C-1 On-Site WaterC'' Baseline'!$C$9:$R$257,6,FALSE))</f>
        <v>Poor</v>
      </c>
      <c r="H45" s="382">
        <f>IF(G45="","",VLOOKUP($B45,'C-1 On-Site WaterC'' Baseline'!$C$9:$R$257,7,FALSE))</f>
        <v>1</v>
      </c>
      <c r="I45" s="382" t="str">
        <f>IF(H45="","",VLOOKUP($B45,'C-1 On-Site WaterC'' Baseline'!$C$9:$R$257,8,FALSE))</f>
        <v>Area/compensation not in local strategy/ no local strategy</v>
      </c>
      <c r="J45" s="382" t="str">
        <f>IF(I45="","",VLOOKUP($B45,'C-1 On-Site WaterC'' Baseline'!$C$9:$R$257,9,FALSE))</f>
        <v>Low Strategic Significance</v>
      </c>
      <c r="K45" s="382">
        <f>IF(J45="","",VLOOKUP($B45,'C-1 On-Site WaterC'' Baseline'!$C$9:$R$257,10,FALSE))</f>
        <v>1</v>
      </c>
      <c r="L45" s="382" t="str">
        <f>IF(B45="","",VLOOKUP($B45,'C-1 On-Site WaterC'' Baseline'!$C$9:$R$257,15,FALSE))</f>
        <v>Same habitat required =</v>
      </c>
      <c r="M45" s="386">
        <f>IF(L45="","",VLOOKUP($B45,'C-1 On-Site WaterC'' Baseline'!$C$9:$R$257,16,FALSE))</f>
        <v>0.35690309726974895</v>
      </c>
      <c r="N45" s="320" t="str">
        <f t="shared" si="0"/>
        <v>Ditches</v>
      </c>
      <c r="O45" s="362" t="str">
        <f t="shared" si="2"/>
        <v>Medium - Medium</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Poor - Poor</v>
      </c>
      <c r="Q45" s="425">
        <f>IF(N45="","",VLOOKUP(B45,'C-1 On-Site WaterC'' Baseline'!$C$10:$AB$257,19,FALSE))</f>
        <v>0.11896769908991632</v>
      </c>
      <c r="R45" s="362" t="str">
        <f>IF(N45="","",VLOOKUP(N45,'G-7 WaterC'' Data'!$B$2:$G$8,2,FALSE))</f>
        <v>Medium</v>
      </c>
      <c r="S45" s="363">
        <f>IFERROR(VLOOKUP(R45,'G-7 WaterC'' Data'!$C$4:$D$8,2,FALSE),"")</f>
        <v>4</v>
      </c>
      <c r="T45" s="114" t="s">
        <v>329</v>
      </c>
      <c r="U45" s="363">
        <f>IFERROR(INDEX('G-7 WaterC'' Data'!$H$4:$L$8,MATCH(N45,'G-7 WaterC'' Data'!$B$4:$B$8,0),MATCH(T45,'G-7 WaterC'' Data'!$H$3:$L$3,0)),"")</f>
        <v>1</v>
      </c>
      <c r="V45" s="114" t="s">
        <v>1037</v>
      </c>
      <c r="W45" s="370" t="str">
        <f>IF(V45="","",IF(VLOOKUP(V45,'G-7 WaterC'' Data'!$AK$4:$AM$6,2,FALSE)=0,"Spatial Data Missing ⚠",VLOOKUP(V45,'G-7 WaterC'' Data'!$AK$4:$AM$6,2,FALSE)))</f>
        <v>Low Strategic Significance</v>
      </c>
      <c r="X45" s="363">
        <f>IF(V45="","",IF(VLOOKUP(V45,'G-7 WaterC'' Data'!$AK$4:$AM$6,3,FALSE)=0,"Spatial Data Missing ⚠",VLOOKUP(V45,'G-7 WaterC'' Data'!$AK$4:$AM$6,3,FALSE)))</f>
        <v>1</v>
      </c>
      <c r="Y45" s="362">
        <f>IFERROR(IF(OR(LEFT(P45,5)="Error",LEFT(O45,5)="Error ▲"),"Check Data ⚠",IF(F45&lt;S45,'G-7 WaterC'' Data'!$R$3,INDEX('G-7 WaterC'' Data'!$U$5:$Y$9,MATCH(G45,'G-7 WaterC'' Data'!$T$5:$T$9,0),MATCH(T45,'G-7 WaterC'' Data'!$U$4:$Y$4,0)))),"")</f>
        <v>1</v>
      </c>
      <c r="Z45" s="159">
        <v>0</v>
      </c>
      <c r="AA45" s="159">
        <v>0</v>
      </c>
      <c r="AB45" s="370" t="str">
        <f t="shared" si="3"/>
        <v>Standard time to target condition applied</v>
      </c>
      <c r="AC45" s="383">
        <f t="shared" si="4"/>
        <v>1</v>
      </c>
      <c r="AD45" s="422">
        <f>IFERROR(IF(AC45="Check Data ⚠","Check Data ⚠",VLOOKUP(AC45,'G-4 Temporal multipliers'!$A$4:$C$37,3,FALSE)),"")</f>
        <v>0.96499999999999997</v>
      </c>
      <c r="AE45" s="362" t="str">
        <f>IF(N45="","",VLOOKUP(N45,'G-7 WaterC'' Data'!$B$4:$G$8,5,FALSE))</f>
        <v>Medium</v>
      </c>
      <c r="AF45" s="370" t="str">
        <f t="shared" si="5"/>
        <v>Standard difficulty applied</v>
      </c>
      <c r="AG45" s="401" t="str">
        <f t="shared" si="6"/>
        <v>Medium</v>
      </c>
      <c r="AH45" s="363">
        <f t="shared" si="1"/>
        <v>0.67</v>
      </c>
      <c r="AI45" s="122" t="s">
        <v>1126</v>
      </c>
      <c r="AJ45" s="363">
        <f>IF(AI45="","",IF(VLOOKUP(AI45,'G-7 WaterC'' Data'!$AA$4:$AB$7,2,FALSE)=0,"Spatial Data Missing ⚠",VLOOKUP(AI45,'G-7 WaterC'' Data'!$AA$4:$AB$7,2,FALSE)))</f>
        <v>1</v>
      </c>
      <c r="AK45" s="123" t="s">
        <v>1142</v>
      </c>
      <c r="AL45" s="363">
        <f>IF(AK45="","",IF(VLOOKUP(AK45,'G-7 WaterC'' Data'!$AD$4:$AE$14,2,FALSE)=0,"Spatial Data Missing ⚠",VLOOKUP(AK45,'G-7 WaterC'' Data'!$AD$4:$AE$14,2,FALSE)))</f>
        <v>0.87</v>
      </c>
      <c r="AM45" s="405">
        <f t="shared" si="7"/>
        <v>0.41400759283290878</v>
      </c>
      <c r="AN45" s="117"/>
      <c r="AO45" s="118"/>
      <c r="AP45" s="120" t="s">
        <v>2040</v>
      </c>
      <c r="AV45" s="30" t="str">
        <f>IFERROR(INDEX('G-7 WaterC'' Data'!$AZ$3:$AZ$7,MATCH(N45,'G-7 WaterC'' Data'!$AY$3:$AY$7,0)),"")</f>
        <v>Rivercond1</v>
      </c>
    </row>
    <row r="46" spans="2:48" ht="28.5" x14ac:dyDescent="0.2">
      <c r="B46" s="392">
        <f>'C-1 On-Site WaterC'' Baseline'!AO44</f>
        <v>40</v>
      </c>
      <c r="C46" s="382" t="str">
        <f>IF(B46="","",VLOOKUP($B46,'C-1 On-Site WaterC'' Baseline'!$C$9:$R$257,2,FALSE))</f>
        <v>Ditches</v>
      </c>
      <c r="D46" s="382">
        <f>IF(C46="","",VLOOKUP($B46,'C-1 On-Site WaterC'' Baseline'!$C$9:$R$257,3,FALSE))</f>
        <v>0.46007503949831463</v>
      </c>
      <c r="E46" s="382" t="str">
        <f>IF(D46="","",VLOOKUP($B46,'C-1 On-Site WaterC'' Baseline'!$C$9:$R$257,4,FALSE))</f>
        <v>Medium</v>
      </c>
      <c r="F46" s="382">
        <f>IF(E46="","",VLOOKUP($B46,'C-1 On-Site WaterC'' Baseline'!$C$9:$R$257,5,FALSE))</f>
        <v>4</v>
      </c>
      <c r="G46" s="382" t="str">
        <f>IF(F46="","",VLOOKUP($B46,'C-1 On-Site WaterC'' Baseline'!$C$9:$R$257,6,FALSE))</f>
        <v>Poor</v>
      </c>
      <c r="H46" s="382">
        <f>IF(G46="","",VLOOKUP($B46,'C-1 On-Site WaterC'' Baseline'!$C$9:$R$257,7,FALSE))</f>
        <v>1</v>
      </c>
      <c r="I46" s="382" t="str">
        <f>IF(H46="","",VLOOKUP($B46,'C-1 On-Site WaterC'' Baseline'!$C$9:$R$257,8,FALSE))</f>
        <v>Area/compensation not in local strategy/ no local strategy</v>
      </c>
      <c r="J46" s="382" t="str">
        <f>IF(I46="","",VLOOKUP($B46,'C-1 On-Site WaterC'' Baseline'!$C$9:$R$257,9,FALSE))</f>
        <v>Low Strategic Significance</v>
      </c>
      <c r="K46" s="382">
        <f>IF(J46="","",VLOOKUP($B46,'C-1 On-Site WaterC'' Baseline'!$C$9:$R$257,10,FALSE))</f>
        <v>1</v>
      </c>
      <c r="L46" s="382" t="str">
        <f>IF(B46="","",VLOOKUP($B46,'C-1 On-Site WaterC'' Baseline'!$C$9:$R$257,15,FALSE))</f>
        <v>Same habitat required =</v>
      </c>
      <c r="M46" s="386">
        <f>IF(L46="","",VLOOKUP($B46,'C-1 On-Site WaterC'' Baseline'!$C$9:$R$257,16,FALSE))</f>
        <v>1.3802251184949439</v>
      </c>
      <c r="N46" s="320" t="str">
        <f t="shared" si="0"/>
        <v>Ditches</v>
      </c>
      <c r="O46" s="362" t="str">
        <f t="shared" si="2"/>
        <v>Medium - Medium</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Poor - Poor</v>
      </c>
      <c r="Q46" s="425">
        <f>IF(N46="","",VLOOKUP(B46,'C-1 On-Site WaterC'' Baseline'!$C$10:$AB$257,19,FALSE))</f>
        <v>0.46007503949831463</v>
      </c>
      <c r="R46" s="362" t="str">
        <f>IF(N46="","",VLOOKUP(N46,'G-7 WaterC'' Data'!$B$2:$G$8,2,FALSE))</f>
        <v>Medium</v>
      </c>
      <c r="S46" s="363">
        <f>IFERROR(VLOOKUP(R46,'G-7 WaterC'' Data'!$C$4:$D$8,2,FALSE),"")</f>
        <v>4</v>
      </c>
      <c r="T46" s="114" t="s">
        <v>329</v>
      </c>
      <c r="U46" s="363">
        <f>IFERROR(INDEX('G-7 WaterC'' Data'!$H$4:$L$8,MATCH(N46,'G-7 WaterC'' Data'!$B$4:$B$8,0),MATCH(T46,'G-7 WaterC'' Data'!$H$3:$L$3,0)),"")</f>
        <v>1</v>
      </c>
      <c r="V46" s="114" t="s">
        <v>1037</v>
      </c>
      <c r="W46" s="370" t="str">
        <f>IF(V46="","",IF(VLOOKUP(V46,'G-7 WaterC'' Data'!$AK$4:$AM$6,2,FALSE)=0,"Spatial Data Missing ⚠",VLOOKUP(V46,'G-7 WaterC'' Data'!$AK$4:$AM$6,2,FALSE)))</f>
        <v>Low Strategic Significance</v>
      </c>
      <c r="X46" s="363">
        <f>IF(V46="","",IF(VLOOKUP(V46,'G-7 WaterC'' Data'!$AK$4:$AM$6,3,FALSE)=0,"Spatial Data Missing ⚠",VLOOKUP(V46,'G-7 WaterC'' Data'!$AK$4:$AM$6,3,FALSE)))</f>
        <v>1</v>
      </c>
      <c r="Y46" s="362">
        <f>IFERROR(IF(OR(LEFT(P46,5)="Error",LEFT(O46,5)="Error ▲"),"Check Data ⚠",IF(F46&lt;S46,'G-7 WaterC'' Data'!$R$3,INDEX('G-7 WaterC'' Data'!$U$5:$Y$9,MATCH(G46,'G-7 WaterC'' Data'!$T$5:$T$9,0),MATCH(T46,'G-7 WaterC'' Data'!$U$4:$Y$4,0)))),"")</f>
        <v>1</v>
      </c>
      <c r="Z46" s="159">
        <v>0</v>
      </c>
      <c r="AA46" s="159">
        <v>0</v>
      </c>
      <c r="AB46" s="370" t="str">
        <f t="shared" si="3"/>
        <v>Standard time to target condition applied</v>
      </c>
      <c r="AC46" s="383">
        <f t="shared" si="4"/>
        <v>1</v>
      </c>
      <c r="AD46" s="422">
        <f>IFERROR(IF(AC46="Check Data ⚠","Check Data ⚠",VLOOKUP(AC46,'G-4 Temporal multipliers'!$A$4:$C$37,3,FALSE)),"")</f>
        <v>0.96499999999999997</v>
      </c>
      <c r="AE46" s="362" t="str">
        <f>IF(N46="","",VLOOKUP(N46,'G-7 WaterC'' Data'!$B$4:$G$8,5,FALSE))</f>
        <v>Medium</v>
      </c>
      <c r="AF46" s="370" t="str">
        <f t="shared" si="5"/>
        <v>Standard difficulty applied</v>
      </c>
      <c r="AG46" s="401" t="str">
        <f t="shared" si="6"/>
        <v>Medium</v>
      </c>
      <c r="AH46" s="363">
        <f t="shared" si="1"/>
        <v>0.67</v>
      </c>
      <c r="AI46" s="122" t="s">
        <v>1126</v>
      </c>
      <c r="AJ46" s="363">
        <f>IF(AI46="","",IF(VLOOKUP(AI46,'G-7 WaterC'' Data'!$AA$4:$AB$7,2,FALSE)=0,"Spatial Data Missing ⚠",VLOOKUP(AI46,'G-7 WaterC'' Data'!$AA$4:$AB$7,2,FALSE)))</f>
        <v>1</v>
      </c>
      <c r="AK46" s="123" t="s">
        <v>1153</v>
      </c>
      <c r="AL46" s="363">
        <f>IF(AK46="","",IF(VLOOKUP(AK46,'G-7 WaterC'' Data'!$AD$4:$AE$14,2,FALSE)=0,"Spatial Data Missing ⚠",VLOOKUP(AK46,'G-7 WaterC'' Data'!$AD$4:$AE$14,2,FALSE)))</f>
        <v>1</v>
      </c>
      <c r="AM46" s="405">
        <f t="shared" si="7"/>
        <v>1.8403001579932585</v>
      </c>
      <c r="AN46" s="117"/>
      <c r="AO46" s="118"/>
      <c r="AP46" s="120" t="s">
        <v>2041</v>
      </c>
      <c r="AV46" s="30" t="str">
        <f>IFERROR(INDEX('G-7 WaterC'' Data'!$AZ$3:$AZ$7,MATCH(N46,'G-7 WaterC'' Data'!$AY$3:$AY$7,0)),"")</f>
        <v>Rivercond1</v>
      </c>
    </row>
    <row r="47" spans="2:48" ht="28.5" x14ac:dyDescent="0.2">
      <c r="B47" s="392">
        <f>'C-1 On-Site WaterC'' Baseline'!AO45</f>
        <v>41</v>
      </c>
      <c r="C47" s="382" t="str">
        <f>IF(B47="","",VLOOKUP($B47,'C-1 On-Site WaterC'' Baseline'!$C$9:$R$257,2,FALSE))</f>
        <v>Ditches</v>
      </c>
      <c r="D47" s="382">
        <f>IF(C47="","",VLOOKUP($B47,'C-1 On-Site WaterC'' Baseline'!$C$9:$R$257,3,FALSE))</f>
        <v>4.6576625762999167E-2</v>
      </c>
      <c r="E47" s="382" t="str">
        <f>IF(D47="","",VLOOKUP($B47,'C-1 On-Site WaterC'' Baseline'!$C$9:$R$257,4,FALSE))</f>
        <v>Medium</v>
      </c>
      <c r="F47" s="382">
        <f>IF(E47="","",VLOOKUP($B47,'C-1 On-Site WaterC'' Baseline'!$C$9:$R$257,5,FALSE))</f>
        <v>4</v>
      </c>
      <c r="G47" s="382" t="str">
        <f>IF(F47="","",VLOOKUP($B47,'C-1 On-Site WaterC'' Baseline'!$C$9:$R$257,6,FALSE))</f>
        <v>Poor</v>
      </c>
      <c r="H47" s="382">
        <f>IF(G47="","",VLOOKUP($B47,'C-1 On-Site WaterC'' Baseline'!$C$9:$R$257,7,FALSE))</f>
        <v>1</v>
      </c>
      <c r="I47" s="382" t="str">
        <f>IF(H47="","",VLOOKUP($B47,'C-1 On-Site WaterC'' Baseline'!$C$9:$R$257,8,FALSE))</f>
        <v>Formally identified in local strategy</v>
      </c>
      <c r="J47" s="382" t="str">
        <f>IF(I47="","",VLOOKUP($B47,'C-1 On-Site WaterC'' Baseline'!$C$9:$R$257,9,FALSE))</f>
        <v xml:space="preserve">High strategic significance </v>
      </c>
      <c r="K47" s="382">
        <f>IF(J47="","",VLOOKUP($B47,'C-1 On-Site WaterC'' Baseline'!$C$9:$R$257,10,FALSE))</f>
        <v>1.1499999999999999</v>
      </c>
      <c r="L47" s="382" t="str">
        <f>IF(B47="","",VLOOKUP($B47,'C-1 On-Site WaterC'' Baseline'!$C$9:$R$257,15,FALSE))</f>
        <v>Same habitat required =</v>
      </c>
      <c r="M47" s="386">
        <f>IF(L47="","",VLOOKUP($B47,'C-1 On-Site WaterC'' Baseline'!$C$9:$R$257,16,FALSE))</f>
        <v>0.16068935888234712</v>
      </c>
      <c r="N47" s="320" t="str">
        <f t="shared" si="0"/>
        <v>Ditches</v>
      </c>
      <c r="O47" s="362" t="str">
        <f t="shared" si="2"/>
        <v>Medium - Medium</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Poor - Poor</v>
      </c>
      <c r="Q47" s="425">
        <f>IF(N47="","",VLOOKUP(B47,'C-1 On-Site WaterC'' Baseline'!$C$10:$AB$257,19,FALSE))</f>
        <v>4.6576625762999167E-2</v>
      </c>
      <c r="R47" s="362" t="str">
        <f>IF(N47="","",VLOOKUP(N47,'G-7 WaterC'' Data'!$B$2:$G$8,2,FALSE))</f>
        <v>Medium</v>
      </c>
      <c r="S47" s="363">
        <f>IFERROR(VLOOKUP(R47,'G-7 WaterC'' Data'!$C$4:$D$8,2,FALSE),"")</f>
        <v>4</v>
      </c>
      <c r="T47" s="114" t="s">
        <v>329</v>
      </c>
      <c r="U47" s="363">
        <f>IFERROR(INDEX('G-7 WaterC'' Data'!$H$4:$L$8,MATCH(N47,'G-7 WaterC'' Data'!$B$4:$B$8,0),MATCH(T47,'G-7 WaterC'' Data'!$H$3:$L$3,0)),"")</f>
        <v>1</v>
      </c>
      <c r="V47" s="114" t="s">
        <v>1029</v>
      </c>
      <c r="W47" s="370" t="str">
        <f>IF(V47="","",IF(VLOOKUP(V47,'G-7 WaterC'' Data'!$AK$4:$AM$6,2,FALSE)=0,"Spatial Data Missing ⚠",VLOOKUP(V47,'G-7 WaterC'' Data'!$AK$4:$AM$6,2,FALSE)))</f>
        <v xml:space="preserve">High strategic significance </v>
      </c>
      <c r="X47" s="363">
        <f>IF(V47="","",IF(VLOOKUP(V47,'G-7 WaterC'' Data'!$AK$4:$AM$6,3,FALSE)=0,"Spatial Data Missing ⚠",VLOOKUP(V47,'G-7 WaterC'' Data'!$AK$4:$AM$6,3,FALSE)))</f>
        <v>1.1499999999999999</v>
      </c>
      <c r="Y47" s="362">
        <f>IFERROR(IF(OR(LEFT(P47,5)="Error",LEFT(O47,5)="Error ▲"),"Check Data ⚠",IF(F47&lt;S47,'G-7 WaterC'' Data'!$R$3,INDEX('G-7 WaterC'' Data'!$U$5:$Y$9,MATCH(G47,'G-7 WaterC'' Data'!$T$5:$T$9,0),MATCH(T47,'G-7 WaterC'' Data'!$U$4:$Y$4,0)))),"")</f>
        <v>1</v>
      </c>
      <c r="Z47" s="159">
        <v>0</v>
      </c>
      <c r="AA47" s="159">
        <v>0</v>
      </c>
      <c r="AB47" s="370" t="str">
        <f t="shared" si="3"/>
        <v>Standard time to target condition applied</v>
      </c>
      <c r="AC47" s="383">
        <f t="shared" si="4"/>
        <v>1</v>
      </c>
      <c r="AD47" s="422">
        <f>IFERROR(IF(AC47="Check Data ⚠","Check Data ⚠",VLOOKUP(AC47,'G-4 Temporal multipliers'!$A$4:$C$37,3,FALSE)),"")</f>
        <v>0.96499999999999997</v>
      </c>
      <c r="AE47" s="362" t="str">
        <f>IF(N47="","",VLOOKUP(N47,'G-7 WaterC'' Data'!$B$4:$G$8,5,FALSE))</f>
        <v>Medium</v>
      </c>
      <c r="AF47" s="370" t="str">
        <f t="shared" si="5"/>
        <v>Standard difficulty applied</v>
      </c>
      <c r="AG47" s="401" t="str">
        <f t="shared" si="6"/>
        <v>Medium</v>
      </c>
      <c r="AH47" s="363">
        <f t="shared" si="1"/>
        <v>0.67</v>
      </c>
      <c r="AI47" s="122" t="s">
        <v>1126</v>
      </c>
      <c r="AJ47" s="363">
        <f>IF(AI47="","",IF(VLOOKUP(AI47,'G-7 WaterC'' Data'!$AA$4:$AB$7,2,FALSE)=0,"Spatial Data Missing ⚠",VLOOKUP(AI47,'G-7 WaterC'' Data'!$AA$4:$AB$7,2,FALSE)))</f>
        <v>1</v>
      </c>
      <c r="AK47" s="123" t="s">
        <v>1153</v>
      </c>
      <c r="AL47" s="363">
        <f>IF(AK47="","",IF(VLOOKUP(AK47,'G-7 WaterC'' Data'!$AD$4:$AE$14,2,FALSE)=0,"Spatial Data Missing ⚠",VLOOKUP(AK47,'G-7 WaterC'' Data'!$AD$4:$AE$14,2,FALSE)))</f>
        <v>1</v>
      </c>
      <c r="AM47" s="405">
        <f t="shared" si="7"/>
        <v>0.21425247850979615</v>
      </c>
      <c r="AN47" s="117"/>
      <c r="AO47" s="118"/>
      <c r="AP47" s="120" t="s">
        <v>2042</v>
      </c>
      <c r="AV47" s="30" t="str">
        <f>IFERROR(INDEX('G-7 WaterC'' Data'!$AZ$3:$AZ$7,MATCH(N47,'G-7 WaterC'' Data'!$AY$3:$AY$7,0)),"")</f>
        <v>Rivercond1</v>
      </c>
    </row>
    <row r="48" spans="2:48" ht="28.5" x14ac:dyDescent="0.2">
      <c r="B48" s="392">
        <f>'C-1 On-Site WaterC'' Baseline'!AO46</f>
        <v>42</v>
      </c>
      <c r="C48" s="382" t="str">
        <f>IF(B48="","",VLOOKUP($B48,'C-1 On-Site WaterC'' Baseline'!$C$9:$R$257,2,FALSE))</f>
        <v>Ditches</v>
      </c>
      <c r="D48" s="382">
        <f>IF(C48="","",VLOOKUP($B48,'C-1 On-Site WaterC'' Baseline'!$C$9:$R$257,3,FALSE))</f>
        <v>0.30979730686457374</v>
      </c>
      <c r="E48" s="382" t="str">
        <f>IF(D48="","",VLOOKUP($B48,'C-1 On-Site WaterC'' Baseline'!$C$9:$R$257,4,FALSE))</f>
        <v>Medium</v>
      </c>
      <c r="F48" s="382">
        <f>IF(E48="","",VLOOKUP($B48,'C-1 On-Site WaterC'' Baseline'!$C$9:$R$257,5,FALSE))</f>
        <v>4</v>
      </c>
      <c r="G48" s="382" t="str">
        <f>IF(F48="","",VLOOKUP($B48,'C-1 On-Site WaterC'' Baseline'!$C$9:$R$257,6,FALSE))</f>
        <v>Poor</v>
      </c>
      <c r="H48" s="382">
        <f>IF(G48="","",VLOOKUP($B48,'C-1 On-Site WaterC'' Baseline'!$C$9:$R$257,7,FALSE))</f>
        <v>1</v>
      </c>
      <c r="I48" s="382" t="str">
        <f>IF(H48="","",VLOOKUP($B48,'C-1 On-Site WaterC'' Baseline'!$C$9:$R$257,8,FALSE))</f>
        <v>Area/compensation not in local strategy/ no local strategy</v>
      </c>
      <c r="J48" s="382" t="str">
        <f>IF(I48="","",VLOOKUP($B48,'C-1 On-Site WaterC'' Baseline'!$C$9:$R$257,9,FALSE))</f>
        <v>Low Strategic Significance</v>
      </c>
      <c r="K48" s="382">
        <f>IF(J48="","",VLOOKUP($B48,'C-1 On-Site WaterC'' Baseline'!$C$9:$R$257,10,FALSE))</f>
        <v>1</v>
      </c>
      <c r="L48" s="382" t="str">
        <f>IF(B48="","",VLOOKUP($B48,'C-1 On-Site WaterC'' Baseline'!$C$9:$R$257,15,FALSE))</f>
        <v>Same habitat required =</v>
      </c>
      <c r="M48" s="386">
        <f>IF(L48="","",VLOOKUP($B48,'C-1 On-Site WaterC'' Baseline'!$C$9:$R$257,16,FALSE))</f>
        <v>0.92939192059372122</v>
      </c>
      <c r="N48" s="320" t="str">
        <f t="shared" si="0"/>
        <v>Ditches</v>
      </c>
      <c r="O48" s="362" t="str">
        <f t="shared" si="2"/>
        <v>Medium - Medium</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Poor - Poor</v>
      </c>
      <c r="Q48" s="425">
        <f>IF(N48="","",VLOOKUP(B48,'C-1 On-Site WaterC'' Baseline'!$C$10:$AB$257,19,FALSE))</f>
        <v>0.30979730686457374</v>
      </c>
      <c r="R48" s="362" t="str">
        <f>IF(N48="","",VLOOKUP(N48,'G-7 WaterC'' Data'!$B$2:$G$8,2,FALSE))</f>
        <v>Medium</v>
      </c>
      <c r="S48" s="363">
        <f>IFERROR(VLOOKUP(R48,'G-7 WaterC'' Data'!$C$4:$D$8,2,FALSE),"")</f>
        <v>4</v>
      </c>
      <c r="T48" s="114" t="s">
        <v>329</v>
      </c>
      <c r="U48" s="363">
        <f>IFERROR(INDEX('G-7 WaterC'' Data'!$H$4:$L$8,MATCH(N48,'G-7 WaterC'' Data'!$B$4:$B$8,0),MATCH(T48,'G-7 WaterC'' Data'!$H$3:$L$3,0)),"")</f>
        <v>1</v>
      </c>
      <c r="V48" s="114" t="s">
        <v>1037</v>
      </c>
      <c r="W48" s="370" t="str">
        <f>IF(V48="","",IF(VLOOKUP(V48,'G-7 WaterC'' Data'!$AK$4:$AM$6,2,FALSE)=0,"Spatial Data Missing ⚠",VLOOKUP(V48,'G-7 WaterC'' Data'!$AK$4:$AM$6,2,FALSE)))</f>
        <v>Low Strategic Significance</v>
      </c>
      <c r="X48" s="363">
        <f>IF(V48="","",IF(VLOOKUP(V48,'G-7 WaterC'' Data'!$AK$4:$AM$6,3,FALSE)=0,"Spatial Data Missing ⚠",VLOOKUP(V48,'G-7 WaterC'' Data'!$AK$4:$AM$6,3,FALSE)))</f>
        <v>1</v>
      </c>
      <c r="Y48" s="362">
        <f>IFERROR(IF(OR(LEFT(P48,5)="Error",LEFT(O48,5)="Error ▲"),"Check Data ⚠",IF(F48&lt;S48,'G-7 WaterC'' Data'!$R$3,INDEX('G-7 WaterC'' Data'!$U$5:$Y$9,MATCH(G48,'G-7 WaterC'' Data'!$T$5:$T$9,0),MATCH(T48,'G-7 WaterC'' Data'!$U$4:$Y$4,0)))),"")</f>
        <v>1</v>
      </c>
      <c r="Z48" s="159">
        <v>0</v>
      </c>
      <c r="AA48" s="159">
        <v>0</v>
      </c>
      <c r="AB48" s="370" t="str">
        <f t="shared" si="3"/>
        <v>Standard time to target condition applied</v>
      </c>
      <c r="AC48" s="383">
        <f t="shared" si="4"/>
        <v>1</v>
      </c>
      <c r="AD48" s="422">
        <f>IFERROR(IF(AC48="Check Data ⚠","Check Data ⚠",VLOOKUP(AC48,'G-4 Temporal multipliers'!$A$4:$C$37,3,FALSE)),"")</f>
        <v>0.96499999999999997</v>
      </c>
      <c r="AE48" s="362" t="str">
        <f>IF(N48="","",VLOOKUP(N48,'G-7 WaterC'' Data'!$B$4:$G$8,5,FALSE))</f>
        <v>Medium</v>
      </c>
      <c r="AF48" s="370" t="str">
        <f t="shared" si="5"/>
        <v>Standard difficulty applied</v>
      </c>
      <c r="AG48" s="401" t="str">
        <f t="shared" si="6"/>
        <v>Medium</v>
      </c>
      <c r="AH48" s="363">
        <f t="shared" si="1"/>
        <v>0.67</v>
      </c>
      <c r="AI48" s="122" t="s">
        <v>1126</v>
      </c>
      <c r="AJ48" s="363">
        <f>IF(AI48="","",IF(VLOOKUP(AI48,'G-7 WaterC'' Data'!$AA$4:$AB$7,2,FALSE)=0,"Spatial Data Missing ⚠",VLOOKUP(AI48,'G-7 WaterC'' Data'!$AA$4:$AB$7,2,FALSE)))</f>
        <v>1</v>
      </c>
      <c r="AK48" s="123" t="s">
        <v>1153</v>
      </c>
      <c r="AL48" s="363">
        <f>IF(AK48="","",IF(VLOOKUP(AK48,'G-7 WaterC'' Data'!$AD$4:$AE$14,2,FALSE)=0,"Spatial Data Missing ⚠",VLOOKUP(AK48,'G-7 WaterC'' Data'!$AD$4:$AE$14,2,FALSE)))</f>
        <v>1</v>
      </c>
      <c r="AM48" s="405">
        <f t="shared" si="7"/>
        <v>1.239189227458295</v>
      </c>
      <c r="AN48" s="117"/>
      <c r="AO48" s="118"/>
      <c r="AP48" s="120" t="s">
        <v>2043</v>
      </c>
      <c r="AV48" s="30" t="str">
        <f>IFERROR(INDEX('G-7 WaterC'' Data'!$AZ$3:$AZ$7,MATCH(N48,'G-7 WaterC'' Data'!$AY$3:$AY$7,0)),"")</f>
        <v>Rivercond1</v>
      </c>
    </row>
    <row r="49" spans="2:48" ht="28.5" x14ac:dyDescent="0.2">
      <c r="B49" s="392">
        <f>'C-1 On-Site WaterC'' Baseline'!AO47</f>
        <v>43</v>
      </c>
      <c r="C49" s="382" t="str">
        <f>IF(B49="","",VLOOKUP($B49,'C-1 On-Site WaterC'' Baseline'!$C$9:$R$257,2,FALSE))</f>
        <v>Ditches</v>
      </c>
      <c r="D49" s="382">
        <f>IF(C49="","",VLOOKUP($B49,'C-1 On-Site WaterC'' Baseline'!$C$9:$R$257,3,FALSE))</f>
        <v>0.11726732256410166</v>
      </c>
      <c r="E49" s="382" t="str">
        <f>IF(D49="","",VLOOKUP($B49,'C-1 On-Site WaterC'' Baseline'!$C$9:$R$257,4,FALSE))</f>
        <v>Medium</v>
      </c>
      <c r="F49" s="382">
        <f>IF(E49="","",VLOOKUP($B49,'C-1 On-Site WaterC'' Baseline'!$C$9:$R$257,5,FALSE))</f>
        <v>4</v>
      </c>
      <c r="G49" s="382" t="str">
        <f>IF(F49="","",VLOOKUP($B49,'C-1 On-Site WaterC'' Baseline'!$C$9:$R$257,6,FALSE))</f>
        <v>Poor</v>
      </c>
      <c r="H49" s="382">
        <f>IF(G49="","",VLOOKUP($B49,'C-1 On-Site WaterC'' Baseline'!$C$9:$R$257,7,FALSE))</f>
        <v>1</v>
      </c>
      <c r="I49" s="382" t="str">
        <f>IF(H49="","",VLOOKUP($B49,'C-1 On-Site WaterC'' Baseline'!$C$9:$R$257,8,FALSE))</f>
        <v>Formally identified in local strategy</v>
      </c>
      <c r="J49" s="382" t="str">
        <f>IF(I49="","",VLOOKUP($B49,'C-1 On-Site WaterC'' Baseline'!$C$9:$R$257,9,FALSE))</f>
        <v xml:space="preserve">High strategic significance </v>
      </c>
      <c r="K49" s="382">
        <f>IF(J49="","",VLOOKUP($B49,'C-1 On-Site WaterC'' Baseline'!$C$9:$R$257,10,FALSE))</f>
        <v>1.1499999999999999</v>
      </c>
      <c r="L49" s="382" t="str">
        <f>IF(B49="","",VLOOKUP($B49,'C-1 On-Site WaterC'' Baseline'!$C$9:$R$257,15,FALSE))</f>
        <v>Same habitat required =</v>
      </c>
      <c r="M49" s="386">
        <f>IF(L49="","",VLOOKUP($B49,'C-1 On-Site WaterC'' Baseline'!$C$9:$R$257,16,FALSE))</f>
        <v>0.40457226284615067</v>
      </c>
      <c r="N49" s="320" t="str">
        <f t="shared" si="0"/>
        <v>Ditches</v>
      </c>
      <c r="O49" s="362" t="str">
        <f t="shared" si="2"/>
        <v>Medium - Medium</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Poor - Poor</v>
      </c>
      <c r="Q49" s="425">
        <f>IF(N49="","",VLOOKUP(B49,'C-1 On-Site WaterC'' Baseline'!$C$10:$AB$257,19,FALSE))</f>
        <v>0.11726732256410166</v>
      </c>
      <c r="R49" s="362" t="str">
        <f>IF(N49="","",VLOOKUP(N49,'G-7 WaterC'' Data'!$B$2:$G$8,2,FALSE))</f>
        <v>Medium</v>
      </c>
      <c r="S49" s="363">
        <f>IFERROR(VLOOKUP(R49,'G-7 WaterC'' Data'!$C$4:$D$8,2,FALSE),"")</f>
        <v>4</v>
      </c>
      <c r="T49" s="114" t="s">
        <v>329</v>
      </c>
      <c r="U49" s="363">
        <f>IFERROR(INDEX('G-7 WaterC'' Data'!$H$4:$L$8,MATCH(N49,'G-7 WaterC'' Data'!$B$4:$B$8,0),MATCH(T49,'G-7 WaterC'' Data'!$H$3:$L$3,0)),"")</f>
        <v>1</v>
      </c>
      <c r="V49" s="114" t="s">
        <v>1029</v>
      </c>
      <c r="W49" s="370" t="str">
        <f>IF(V49="","",IF(VLOOKUP(V49,'G-7 WaterC'' Data'!$AK$4:$AM$6,2,FALSE)=0,"Spatial Data Missing ⚠",VLOOKUP(V49,'G-7 WaterC'' Data'!$AK$4:$AM$6,2,FALSE)))</f>
        <v xml:space="preserve">High strategic significance </v>
      </c>
      <c r="X49" s="363">
        <f>IF(V49="","",IF(VLOOKUP(V49,'G-7 WaterC'' Data'!$AK$4:$AM$6,3,FALSE)=0,"Spatial Data Missing ⚠",VLOOKUP(V49,'G-7 WaterC'' Data'!$AK$4:$AM$6,3,FALSE)))</f>
        <v>1.1499999999999999</v>
      </c>
      <c r="Y49" s="362">
        <f>IFERROR(IF(OR(LEFT(P49,5)="Error",LEFT(O49,5)="Error ▲"),"Check Data ⚠",IF(F49&lt;S49,'G-7 WaterC'' Data'!$R$3,INDEX('G-7 WaterC'' Data'!$U$5:$Y$9,MATCH(G49,'G-7 WaterC'' Data'!$T$5:$T$9,0),MATCH(T49,'G-7 WaterC'' Data'!$U$4:$Y$4,0)))),"")</f>
        <v>1</v>
      </c>
      <c r="Z49" s="159">
        <v>0</v>
      </c>
      <c r="AA49" s="159">
        <v>0</v>
      </c>
      <c r="AB49" s="370" t="str">
        <f t="shared" si="3"/>
        <v>Standard time to target condition applied</v>
      </c>
      <c r="AC49" s="383">
        <f t="shared" si="4"/>
        <v>1</v>
      </c>
      <c r="AD49" s="422">
        <f>IFERROR(IF(AC49="Check Data ⚠","Check Data ⚠",VLOOKUP(AC49,'G-4 Temporal multipliers'!$A$4:$C$37,3,FALSE)),"")</f>
        <v>0.96499999999999997</v>
      </c>
      <c r="AE49" s="362" t="str">
        <f>IF(N49="","",VLOOKUP(N49,'G-7 WaterC'' Data'!$B$4:$G$8,5,FALSE))</f>
        <v>Medium</v>
      </c>
      <c r="AF49" s="370" t="str">
        <f t="shared" si="5"/>
        <v>Standard difficulty applied</v>
      </c>
      <c r="AG49" s="401" t="str">
        <f t="shared" si="6"/>
        <v>Medium</v>
      </c>
      <c r="AH49" s="363">
        <f t="shared" si="1"/>
        <v>0.67</v>
      </c>
      <c r="AI49" s="122" t="s">
        <v>1126</v>
      </c>
      <c r="AJ49" s="363">
        <f>IF(AI49="","",IF(VLOOKUP(AI49,'G-7 WaterC'' Data'!$AA$4:$AB$7,2,FALSE)=0,"Spatial Data Missing ⚠",VLOOKUP(AI49,'G-7 WaterC'' Data'!$AA$4:$AB$7,2,FALSE)))</f>
        <v>1</v>
      </c>
      <c r="AK49" s="123" t="s">
        <v>1153</v>
      </c>
      <c r="AL49" s="363">
        <f>IF(AK49="","",IF(VLOOKUP(AK49,'G-7 WaterC'' Data'!$AD$4:$AE$14,2,FALSE)=0,"Spatial Data Missing ⚠",VLOOKUP(AK49,'G-7 WaterC'' Data'!$AD$4:$AE$14,2,FALSE)))</f>
        <v>1</v>
      </c>
      <c r="AM49" s="405">
        <f t="shared" si="7"/>
        <v>0.53942968379486755</v>
      </c>
      <c r="AN49" s="117"/>
      <c r="AO49" s="118"/>
      <c r="AP49" s="120" t="s">
        <v>2044</v>
      </c>
      <c r="AV49" s="30" t="str">
        <f>IFERROR(INDEX('G-7 WaterC'' Data'!$AZ$3:$AZ$7,MATCH(N49,'G-7 WaterC'' Data'!$AY$3:$AY$7,0)),"")</f>
        <v>Rivercond1</v>
      </c>
    </row>
    <row r="50" spans="2:48" ht="28.5" x14ac:dyDescent="0.2">
      <c r="B50" s="392">
        <f>'C-1 On-Site WaterC'' Baseline'!AO48</f>
        <v>44</v>
      </c>
      <c r="C50" s="382" t="str">
        <f>IF(B50="","",VLOOKUP($B50,'C-1 On-Site WaterC'' Baseline'!$C$9:$R$257,2,FALSE))</f>
        <v>Ditches</v>
      </c>
      <c r="D50" s="382">
        <f>IF(C50="","",VLOOKUP($B50,'C-1 On-Site WaterC'' Baseline'!$C$9:$R$257,3,FALSE))</f>
        <v>0.35679793007324195</v>
      </c>
      <c r="E50" s="382" t="str">
        <f>IF(D50="","",VLOOKUP($B50,'C-1 On-Site WaterC'' Baseline'!$C$9:$R$257,4,FALSE))</f>
        <v>Medium</v>
      </c>
      <c r="F50" s="382">
        <f>IF(E50="","",VLOOKUP($B50,'C-1 On-Site WaterC'' Baseline'!$C$9:$R$257,5,FALSE))</f>
        <v>4</v>
      </c>
      <c r="G50" s="382" t="str">
        <f>IF(F50="","",VLOOKUP($B50,'C-1 On-Site WaterC'' Baseline'!$C$9:$R$257,6,FALSE))</f>
        <v>Poor</v>
      </c>
      <c r="H50" s="382">
        <f>IF(G50="","",VLOOKUP($B50,'C-1 On-Site WaterC'' Baseline'!$C$9:$R$257,7,FALSE))</f>
        <v>1</v>
      </c>
      <c r="I50" s="382" t="str">
        <f>IF(H50="","",VLOOKUP($B50,'C-1 On-Site WaterC'' Baseline'!$C$9:$R$257,8,FALSE))</f>
        <v>Formally identified in local strategy</v>
      </c>
      <c r="J50" s="382" t="str">
        <f>IF(I50="","",VLOOKUP($B50,'C-1 On-Site WaterC'' Baseline'!$C$9:$R$257,9,FALSE))</f>
        <v xml:space="preserve">High strategic significance </v>
      </c>
      <c r="K50" s="382">
        <f>IF(J50="","",VLOOKUP($B50,'C-1 On-Site WaterC'' Baseline'!$C$9:$R$257,10,FALSE))</f>
        <v>1.1499999999999999</v>
      </c>
      <c r="L50" s="382" t="str">
        <f>IF(B50="","",VLOOKUP($B50,'C-1 On-Site WaterC'' Baseline'!$C$9:$R$257,15,FALSE))</f>
        <v>Same habitat required =</v>
      </c>
      <c r="M50" s="386">
        <f>IF(L50="","",VLOOKUP($B50,'C-1 On-Site WaterC'' Baseline'!$C$9:$R$257,16,FALSE))</f>
        <v>1.2309528587526846</v>
      </c>
      <c r="N50" s="320" t="str">
        <f t="shared" si="0"/>
        <v>Ditches</v>
      </c>
      <c r="O50" s="362" t="str">
        <f t="shared" si="2"/>
        <v>Medium - Medium</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Poor - Poor</v>
      </c>
      <c r="Q50" s="425">
        <f>IF(N50="","",VLOOKUP(B50,'C-1 On-Site WaterC'' Baseline'!$C$10:$AB$257,19,FALSE))</f>
        <v>0.35679793007324195</v>
      </c>
      <c r="R50" s="362" t="str">
        <f>IF(N50="","",VLOOKUP(N50,'G-7 WaterC'' Data'!$B$2:$G$8,2,FALSE))</f>
        <v>Medium</v>
      </c>
      <c r="S50" s="363">
        <f>IFERROR(VLOOKUP(R50,'G-7 WaterC'' Data'!$C$4:$D$8,2,FALSE),"")</f>
        <v>4</v>
      </c>
      <c r="T50" s="114" t="s">
        <v>329</v>
      </c>
      <c r="U50" s="363">
        <f>IFERROR(INDEX('G-7 WaterC'' Data'!$H$4:$L$8,MATCH(N50,'G-7 WaterC'' Data'!$B$4:$B$8,0),MATCH(T50,'G-7 WaterC'' Data'!$H$3:$L$3,0)),"")</f>
        <v>1</v>
      </c>
      <c r="V50" s="114" t="s">
        <v>1029</v>
      </c>
      <c r="W50" s="370" t="str">
        <f>IF(V50="","",IF(VLOOKUP(V50,'G-7 WaterC'' Data'!$AK$4:$AM$6,2,FALSE)=0,"Spatial Data Missing ⚠",VLOOKUP(V50,'G-7 WaterC'' Data'!$AK$4:$AM$6,2,FALSE)))</f>
        <v xml:space="preserve">High strategic significance </v>
      </c>
      <c r="X50" s="363">
        <f>IF(V50="","",IF(VLOOKUP(V50,'G-7 WaterC'' Data'!$AK$4:$AM$6,3,FALSE)=0,"Spatial Data Missing ⚠",VLOOKUP(V50,'G-7 WaterC'' Data'!$AK$4:$AM$6,3,FALSE)))</f>
        <v>1.1499999999999999</v>
      </c>
      <c r="Y50" s="362">
        <f>IFERROR(IF(OR(LEFT(P50,5)="Error",LEFT(O50,5)="Error ▲"),"Check Data ⚠",IF(F50&lt;S50,'G-7 WaterC'' Data'!$R$3,INDEX('G-7 WaterC'' Data'!$U$5:$Y$9,MATCH(G50,'G-7 WaterC'' Data'!$T$5:$T$9,0),MATCH(T50,'G-7 WaterC'' Data'!$U$4:$Y$4,0)))),"")</f>
        <v>1</v>
      </c>
      <c r="Z50" s="159">
        <v>0</v>
      </c>
      <c r="AA50" s="159">
        <v>0</v>
      </c>
      <c r="AB50" s="370" t="str">
        <f t="shared" si="3"/>
        <v>Standard time to target condition applied</v>
      </c>
      <c r="AC50" s="383">
        <f t="shared" si="4"/>
        <v>1</v>
      </c>
      <c r="AD50" s="422">
        <f>IFERROR(IF(AC50="Check Data ⚠","Check Data ⚠",VLOOKUP(AC50,'G-4 Temporal multipliers'!$A$4:$C$37,3,FALSE)),"")</f>
        <v>0.96499999999999997</v>
      </c>
      <c r="AE50" s="362" t="str">
        <f>IF(N50="","",VLOOKUP(N50,'G-7 WaterC'' Data'!$B$4:$G$8,5,FALSE))</f>
        <v>Medium</v>
      </c>
      <c r="AF50" s="370" t="str">
        <f t="shared" si="5"/>
        <v>Standard difficulty applied</v>
      </c>
      <c r="AG50" s="401" t="str">
        <f t="shared" si="6"/>
        <v>Medium</v>
      </c>
      <c r="AH50" s="363">
        <f t="shared" si="1"/>
        <v>0.67</v>
      </c>
      <c r="AI50" s="122" t="s">
        <v>1126</v>
      </c>
      <c r="AJ50" s="363">
        <f>IF(AI50="","",IF(VLOOKUP(AI50,'G-7 WaterC'' Data'!$AA$4:$AB$7,2,FALSE)=0,"Spatial Data Missing ⚠",VLOOKUP(AI50,'G-7 WaterC'' Data'!$AA$4:$AB$7,2,FALSE)))</f>
        <v>1</v>
      </c>
      <c r="AK50" s="123" t="s">
        <v>1153</v>
      </c>
      <c r="AL50" s="363">
        <f>IF(AK50="","",IF(VLOOKUP(AK50,'G-7 WaterC'' Data'!$AD$4:$AE$14,2,FALSE)=0,"Spatial Data Missing ⚠",VLOOKUP(AK50,'G-7 WaterC'' Data'!$AD$4:$AE$14,2,FALSE)))</f>
        <v>1</v>
      </c>
      <c r="AM50" s="405">
        <f t="shared" si="7"/>
        <v>1.6412704783369128</v>
      </c>
      <c r="AN50" s="117"/>
      <c r="AO50" s="118"/>
      <c r="AP50" s="120" t="s">
        <v>2045</v>
      </c>
      <c r="AV50" s="30" t="str">
        <f>IFERROR(INDEX('G-7 WaterC'' Data'!$AZ$3:$AZ$7,MATCH(N50,'G-7 WaterC'' Data'!$AY$3:$AY$7,0)),"")</f>
        <v>Rivercond1</v>
      </c>
    </row>
    <row r="51" spans="2:48" ht="28.5" x14ac:dyDescent="0.2">
      <c r="B51" s="392">
        <f>'C-1 On-Site WaterC'' Baseline'!AO49</f>
        <v>45</v>
      </c>
      <c r="C51" s="382" t="str">
        <f>IF(B51="","",VLOOKUP($B51,'C-1 On-Site WaterC'' Baseline'!$C$9:$R$257,2,FALSE))</f>
        <v>Ditches</v>
      </c>
      <c r="D51" s="382">
        <f>IF(C51="","",VLOOKUP($B51,'C-1 On-Site WaterC'' Baseline'!$C$9:$R$257,3,FALSE))</f>
        <v>3.635734633099367E-3</v>
      </c>
      <c r="E51" s="382" t="str">
        <f>IF(D51="","",VLOOKUP($B51,'C-1 On-Site WaterC'' Baseline'!$C$9:$R$257,4,FALSE))</f>
        <v>Medium</v>
      </c>
      <c r="F51" s="382">
        <f>IF(E51="","",VLOOKUP($B51,'C-1 On-Site WaterC'' Baseline'!$C$9:$R$257,5,FALSE))</f>
        <v>4</v>
      </c>
      <c r="G51" s="382" t="str">
        <f>IF(F51="","",VLOOKUP($B51,'C-1 On-Site WaterC'' Baseline'!$C$9:$R$257,6,FALSE))</f>
        <v>Poor</v>
      </c>
      <c r="H51" s="382">
        <f>IF(G51="","",VLOOKUP($B51,'C-1 On-Site WaterC'' Baseline'!$C$9:$R$257,7,FALSE))</f>
        <v>1</v>
      </c>
      <c r="I51" s="382" t="str">
        <f>IF(H51="","",VLOOKUP($B51,'C-1 On-Site WaterC'' Baseline'!$C$9:$R$257,8,FALSE))</f>
        <v>Area/compensation not in local strategy/ no local strategy</v>
      </c>
      <c r="J51" s="382" t="str">
        <f>IF(I51="","",VLOOKUP($B51,'C-1 On-Site WaterC'' Baseline'!$C$9:$R$257,9,FALSE))</f>
        <v>Low Strategic Significance</v>
      </c>
      <c r="K51" s="382">
        <f>IF(J51="","",VLOOKUP($B51,'C-1 On-Site WaterC'' Baseline'!$C$9:$R$257,10,FALSE))</f>
        <v>1</v>
      </c>
      <c r="L51" s="382" t="str">
        <f>IF(B51="","",VLOOKUP($B51,'C-1 On-Site WaterC'' Baseline'!$C$9:$R$257,15,FALSE))</f>
        <v>Same habitat required =</v>
      </c>
      <c r="M51" s="386">
        <f>IF(L51="","",VLOOKUP($B51,'C-1 On-Site WaterC'' Baseline'!$C$9:$R$257,16,FALSE))</f>
        <v>1.0907203899298102E-2</v>
      </c>
      <c r="N51" s="320" t="str">
        <f t="shared" si="0"/>
        <v>Ditches</v>
      </c>
      <c r="O51" s="362" t="str">
        <f t="shared" si="2"/>
        <v>Medium - Medium</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Poor - Poor</v>
      </c>
      <c r="Q51" s="425">
        <f>IF(N51="","",VLOOKUP(B51,'C-1 On-Site WaterC'' Baseline'!$C$10:$AB$257,19,FALSE))</f>
        <v>3.635734633099367E-3</v>
      </c>
      <c r="R51" s="362" t="str">
        <f>IF(N51="","",VLOOKUP(N51,'G-7 WaterC'' Data'!$B$2:$G$8,2,FALSE))</f>
        <v>Medium</v>
      </c>
      <c r="S51" s="363">
        <f>IFERROR(VLOOKUP(R51,'G-7 WaterC'' Data'!$C$4:$D$8,2,FALSE),"")</f>
        <v>4</v>
      </c>
      <c r="T51" s="114" t="s">
        <v>329</v>
      </c>
      <c r="U51" s="363">
        <f>IFERROR(INDEX('G-7 WaterC'' Data'!$H$4:$L$8,MATCH(N51,'G-7 WaterC'' Data'!$B$4:$B$8,0),MATCH(T51,'G-7 WaterC'' Data'!$H$3:$L$3,0)),"")</f>
        <v>1</v>
      </c>
      <c r="V51" s="114" t="s">
        <v>1037</v>
      </c>
      <c r="W51" s="370" t="str">
        <f>IF(V51="","",IF(VLOOKUP(V51,'G-7 WaterC'' Data'!$AK$4:$AM$6,2,FALSE)=0,"Spatial Data Missing ⚠",VLOOKUP(V51,'G-7 WaterC'' Data'!$AK$4:$AM$6,2,FALSE)))</f>
        <v>Low Strategic Significance</v>
      </c>
      <c r="X51" s="363">
        <f>IF(V51="","",IF(VLOOKUP(V51,'G-7 WaterC'' Data'!$AK$4:$AM$6,3,FALSE)=0,"Spatial Data Missing ⚠",VLOOKUP(V51,'G-7 WaterC'' Data'!$AK$4:$AM$6,3,FALSE)))</f>
        <v>1</v>
      </c>
      <c r="Y51" s="362">
        <f>IFERROR(IF(OR(LEFT(P51,5)="Error",LEFT(O51,5)="Error ▲"),"Check Data ⚠",IF(F51&lt;S51,'G-7 WaterC'' Data'!$R$3,INDEX('G-7 WaterC'' Data'!$U$5:$Y$9,MATCH(G51,'G-7 WaterC'' Data'!$T$5:$T$9,0),MATCH(T51,'G-7 WaterC'' Data'!$U$4:$Y$4,0)))),"")</f>
        <v>1</v>
      </c>
      <c r="Z51" s="159">
        <v>0</v>
      </c>
      <c r="AA51" s="159">
        <v>0</v>
      </c>
      <c r="AB51" s="370" t="str">
        <f t="shared" si="3"/>
        <v>Standard time to target condition applied</v>
      </c>
      <c r="AC51" s="383">
        <f t="shared" si="4"/>
        <v>1</v>
      </c>
      <c r="AD51" s="422">
        <f>IFERROR(IF(AC51="Check Data ⚠","Check Data ⚠",VLOOKUP(AC51,'G-4 Temporal multipliers'!$A$4:$C$37,3,FALSE)),"")</f>
        <v>0.96499999999999997</v>
      </c>
      <c r="AE51" s="362" t="str">
        <f>IF(N51="","",VLOOKUP(N51,'G-7 WaterC'' Data'!$B$4:$G$8,5,FALSE))</f>
        <v>Medium</v>
      </c>
      <c r="AF51" s="370" t="str">
        <f t="shared" si="5"/>
        <v>Standard difficulty applied</v>
      </c>
      <c r="AG51" s="401" t="str">
        <f t="shared" si="6"/>
        <v>Medium</v>
      </c>
      <c r="AH51" s="363">
        <f t="shared" si="1"/>
        <v>0.67</v>
      </c>
      <c r="AI51" s="122" t="s">
        <v>1126</v>
      </c>
      <c r="AJ51" s="363">
        <f>IF(AI51="","",IF(VLOOKUP(AI51,'G-7 WaterC'' Data'!$AA$4:$AB$7,2,FALSE)=0,"Spatial Data Missing ⚠",VLOOKUP(AI51,'G-7 WaterC'' Data'!$AA$4:$AB$7,2,FALSE)))</f>
        <v>1</v>
      </c>
      <c r="AK51" s="123" t="s">
        <v>1153</v>
      </c>
      <c r="AL51" s="363">
        <f>IF(AK51="","",IF(VLOOKUP(AK51,'G-7 WaterC'' Data'!$AD$4:$AE$14,2,FALSE)=0,"Spatial Data Missing ⚠",VLOOKUP(AK51,'G-7 WaterC'' Data'!$AD$4:$AE$14,2,FALSE)))</f>
        <v>1</v>
      </c>
      <c r="AM51" s="405">
        <f t="shared" si="7"/>
        <v>1.4542938532397468E-2</v>
      </c>
      <c r="AN51" s="117"/>
      <c r="AO51" s="118"/>
      <c r="AP51" s="120" t="s">
        <v>2046</v>
      </c>
      <c r="AV51" s="30" t="str">
        <f>IFERROR(INDEX('G-7 WaterC'' Data'!$AZ$3:$AZ$7,MATCH(N51,'G-7 WaterC'' Data'!$AY$3:$AY$7,0)),"")</f>
        <v>Rivercond1</v>
      </c>
    </row>
    <row r="52" spans="2:48" ht="28.5" x14ac:dyDescent="0.2">
      <c r="B52" s="392">
        <f>'C-1 On-Site WaterC'' Baseline'!AO50</f>
        <v>46</v>
      </c>
      <c r="C52" s="382" t="str">
        <f>IF(B52="","",VLOOKUP($B52,'C-1 On-Site WaterC'' Baseline'!$C$9:$R$257,2,FALSE))</f>
        <v>Ditches</v>
      </c>
      <c r="D52" s="382">
        <f>IF(C52="","",VLOOKUP($B52,'C-1 On-Site WaterC'' Baseline'!$C$9:$R$257,3,FALSE))</f>
        <v>0.44951688576800192</v>
      </c>
      <c r="E52" s="382" t="str">
        <f>IF(D52="","",VLOOKUP($B52,'C-1 On-Site WaterC'' Baseline'!$C$9:$R$257,4,FALSE))</f>
        <v>Medium</v>
      </c>
      <c r="F52" s="382">
        <f>IF(E52="","",VLOOKUP($B52,'C-1 On-Site WaterC'' Baseline'!$C$9:$R$257,5,FALSE))</f>
        <v>4</v>
      </c>
      <c r="G52" s="382" t="str">
        <f>IF(F52="","",VLOOKUP($B52,'C-1 On-Site WaterC'' Baseline'!$C$9:$R$257,6,FALSE))</f>
        <v>Poor</v>
      </c>
      <c r="H52" s="382">
        <f>IF(G52="","",VLOOKUP($B52,'C-1 On-Site WaterC'' Baseline'!$C$9:$R$257,7,FALSE))</f>
        <v>1</v>
      </c>
      <c r="I52" s="382" t="str">
        <f>IF(H52="","",VLOOKUP($B52,'C-1 On-Site WaterC'' Baseline'!$C$9:$R$257,8,FALSE))</f>
        <v>Formally identified in local strategy</v>
      </c>
      <c r="J52" s="382" t="str">
        <f>IF(I52="","",VLOOKUP($B52,'C-1 On-Site WaterC'' Baseline'!$C$9:$R$257,9,FALSE))</f>
        <v xml:space="preserve">High strategic significance </v>
      </c>
      <c r="K52" s="382">
        <f>IF(J52="","",VLOOKUP($B52,'C-1 On-Site WaterC'' Baseline'!$C$9:$R$257,10,FALSE))</f>
        <v>1.1499999999999999</v>
      </c>
      <c r="L52" s="382" t="str">
        <f>IF(B52="","",VLOOKUP($B52,'C-1 On-Site WaterC'' Baseline'!$C$9:$R$257,15,FALSE))</f>
        <v>Same habitat required =</v>
      </c>
      <c r="M52" s="386">
        <f>IF(L52="","",VLOOKUP($B52,'C-1 On-Site WaterC'' Baseline'!$C$9:$R$257,16,FALSE))</f>
        <v>1.5508332558996065</v>
      </c>
      <c r="N52" s="320" t="str">
        <f t="shared" si="0"/>
        <v>Ditches</v>
      </c>
      <c r="O52" s="362" t="str">
        <f t="shared" si="2"/>
        <v>Medium - Medium</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Poor - Poor</v>
      </c>
      <c r="Q52" s="425">
        <f>IF(N52="","",VLOOKUP(B52,'C-1 On-Site WaterC'' Baseline'!$C$10:$AB$257,19,FALSE))</f>
        <v>0.44951688576800192</v>
      </c>
      <c r="R52" s="362" t="str">
        <f>IF(N52="","",VLOOKUP(N52,'G-7 WaterC'' Data'!$B$2:$G$8,2,FALSE))</f>
        <v>Medium</v>
      </c>
      <c r="S52" s="363">
        <f>IFERROR(VLOOKUP(R52,'G-7 WaterC'' Data'!$C$4:$D$8,2,FALSE),"")</f>
        <v>4</v>
      </c>
      <c r="T52" s="114" t="s">
        <v>329</v>
      </c>
      <c r="U52" s="363">
        <f>IFERROR(INDEX('G-7 WaterC'' Data'!$H$4:$L$8,MATCH(N52,'G-7 WaterC'' Data'!$B$4:$B$8,0),MATCH(T52,'G-7 WaterC'' Data'!$H$3:$L$3,0)),"")</f>
        <v>1</v>
      </c>
      <c r="V52" s="114" t="s">
        <v>1029</v>
      </c>
      <c r="W52" s="370" t="str">
        <f>IF(V52="","",IF(VLOOKUP(V52,'G-7 WaterC'' Data'!$AK$4:$AM$6,2,FALSE)=0,"Spatial Data Missing ⚠",VLOOKUP(V52,'G-7 WaterC'' Data'!$AK$4:$AM$6,2,FALSE)))</f>
        <v xml:space="preserve">High strategic significance </v>
      </c>
      <c r="X52" s="363">
        <f>IF(V52="","",IF(VLOOKUP(V52,'G-7 WaterC'' Data'!$AK$4:$AM$6,3,FALSE)=0,"Spatial Data Missing ⚠",VLOOKUP(V52,'G-7 WaterC'' Data'!$AK$4:$AM$6,3,FALSE)))</f>
        <v>1.1499999999999999</v>
      </c>
      <c r="Y52" s="362">
        <f>IFERROR(IF(OR(LEFT(P52,5)="Error",LEFT(O52,5)="Error ▲"),"Check Data ⚠",IF(F52&lt;S52,'G-7 WaterC'' Data'!$R$3,INDEX('G-7 WaterC'' Data'!$U$5:$Y$9,MATCH(G52,'G-7 WaterC'' Data'!$T$5:$T$9,0),MATCH(T52,'G-7 WaterC'' Data'!$U$4:$Y$4,0)))),"")</f>
        <v>1</v>
      </c>
      <c r="Z52" s="159">
        <v>0</v>
      </c>
      <c r="AA52" s="159">
        <v>0</v>
      </c>
      <c r="AB52" s="370" t="str">
        <f t="shared" si="3"/>
        <v>Standard time to target condition applied</v>
      </c>
      <c r="AC52" s="383">
        <f t="shared" si="4"/>
        <v>1</v>
      </c>
      <c r="AD52" s="422">
        <f>IFERROR(IF(AC52="Check Data ⚠","Check Data ⚠",VLOOKUP(AC52,'G-4 Temporal multipliers'!$A$4:$C$37,3,FALSE)),"")</f>
        <v>0.96499999999999997</v>
      </c>
      <c r="AE52" s="362" t="str">
        <f>IF(N52="","",VLOOKUP(N52,'G-7 WaterC'' Data'!$B$4:$G$8,5,FALSE))</f>
        <v>Medium</v>
      </c>
      <c r="AF52" s="370" t="str">
        <f t="shared" si="5"/>
        <v>Standard difficulty applied</v>
      </c>
      <c r="AG52" s="401" t="str">
        <f t="shared" si="6"/>
        <v>Medium</v>
      </c>
      <c r="AH52" s="363">
        <f t="shared" si="1"/>
        <v>0.67</v>
      </c>
      <c r="AI52" s="122" t="s">
        <v>1126</v>
      </c>
      <c r="AJ52" s="363">
        <f>IF(AI52="","",IF(VLOOKUP(AI52,'G-7 WaterC'' Data'!$AA$4:$AB$7,2,FALSE)=0,"Spatial Data Missing ⚠",VLOOKUP(AI52,'G-7 WaterC'' Data'!$AA$4:$AB$7,2,FALSE)))</f>
        <v>1</v>
      </c>
      <c r="AK52" s="123" t="s">
        <v>1142</v>
      </c>
      <c r="AL52" s="363">
        <f>IF(AK52="","",IF(VLOOKUP(AK52,'G-7 WaterC'' Data'!$AD$4:$AE$14,2,FALSE)=0,"Spatial Data Missing ⚠",VLOOKUP(AK52,'G-7 WaterC'' Data'!$AD$4:$AE$14,2,FALSE)))</f>
        <v>0.87</v>
      </c>
      <c r="AM52" s="405">
        <f t="shared" si="7"/>
        <v>1.7989665768435437</v>
      </c>
      <c r="AN52" s="117"/>
      <c r="AO52" s="118"/>
      <c r="AP52" s="120" t="s">
        <v>2047</v>
      </c>
      <c r="AV52" s="30" t="str">
        <f>IFERROR(INDEX('G-7 WaterC'' Data'!$AZ$3:$AZ$7,MATCH(N52,'G-7 WaterC'' Data'!$AY$3:$AY$7,0)),"")</f>
        <v>Rivercond1</v>
      </c>
    </row>
    <row r="53" spans="2:48" ht="28.5" x14ac:dyDescent="0.2">
      <c r="B53" s="392">
        <f>'C-1 On-Site WaterC'' Baseline'!AO51</f>
        <v>47</v>
      </c>
      <c r="C53" s="382" t="str">
        <f>IF(B53="","",VLOOKUP($B53,'C-1 On-Site WaterC'' Baseline'!$C$9:$R$257,2,FALSE))</f>
        <v>Other rivers and streams</v>
      </c>
      <c r="D53" s="382">
        <f>IF(C53="","",VLOOKUP($B53,'C-1 On-Site WaterC'' Baseline'!$C$9:$R$257,3,FALSE))</f>
        <v>4.2336885559366794E-2</v>
      </c>
      <c r="E53" s="382" t="str">
        <f>IF(D53="","",VLOOKUP($B53,'C-1 On-Site WaterC'' Baseline'!$C$9:$R$257,4,FALSE))</f>
        <v>High</v>
      </c>
      <c r="F53" s="382">
        <f>IF(E53="","",VLOOKUP($B53,'C-1 On-Site WaterC'' Baseline'!$C$9:$R$257,5,FALSE))</f>
        <v>6</v>
      </c>
      <c r="G53" s="382" t="str">
        <f>IF(F53="","",VLOOKUP($B53,'C-1 On-Site WaterC'' Baseline'!$C$9:$R$257,6,FALSE))</f>
        <v>Poor</v>
      </c>
      <c r="H53" s="382">
        <f>IF(G53="","",VLOOKUP($B53,'C-1 On-Site WaterC'' Baseline'!$C$9:$R$257,7,FALSE))</f>
        <v>1</v>
      </c>
      <c r="I53" s="382" t="str">
        <f>IF(H53="","",VLOOKUP($B53,'C-1 On-Site WaterC'' Baseline'!$C$9:$R$257,8,FALSE))</f>
        <v>Formally identified in local strategy</v>
      </c>
      <c r="J53" s="382" t="str">
        <f>IF(I53="","",VLOOKUP($B53,'C-1 On-Site WaterC'' Baseline'!$C$9:$R$257,9,FALSE))</f>
        <v xml:space="preserve">High strategic significance </v>
      </c>
      <c r="K53" s="382">
        <f>IF(J53="","",VLOOKUP($B53,'C-1 On-Site WaterC'' Baseline'!$C$9:$R$257,10,FALSE))</f>
        <v>1.1499999999999999</v>
      </c>
      <c r="L53" s="382" t="str">
        <f>IF(B53="","",VLOOKUP($B53,'C-1 On-Site WaterC'' Baseline'!$C$9:$R$257,15,FALSE))</f>
        <v>Same habitat required =</v>
      </c>
      <c r="M53" s="386">
        <f>IF(L53="","",VLOOKUP($B53,'C-1 On-Site WaterC'' Baseline'!$C$9:$R$257,16,FALSE))</f>
        <v>0.21909338276972312</v>
      </c>
      <c r="N53" s="320" t="str">
        <f t="shared" si="0"/>
        <v>Other rivers and streams</v>
      </c>
      <c r="O53" s="362" t="str">
        <f t="shared" si="2"/>
        <v>High - High</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Poor - Poor</v>
      </c>
      <c r="Q53" s="425">
        <f>IF(N53="","",VLOOKUP(B53,'C-1 On-Site WaterC'' Baseline'!$C$10:$AB$257,19,FALSE))</f>
        <v>4.2336885559366794E-2</v>
      </c>
      <c r="R53" s="362" t="str">
        <f>IF(N53="","",VLOOKUP(N53,'G-7 WaterC'' Data'!$B$2:$G$8,2,FALSE))</f>
        <v>High</v>
      </c>
      <c r="S53" s="363">
        <f>IFERROR(VLOOKUP(R53,'G-7 WaterC'' Data'!$C$4:$D$8,2,FALSE),"")</f>
        <v>6</v>
      </c>
      <c r="T53" s="114" t="s">
        <v>329</v>
      </c>
      <c r="U53" s="363">
        <f>IFERROR(INDEX('G-7 WaterC'' Data'!$H$4:$L$8,MATCH(N53,'G-7 WaterC'' Data'!$B$4:$B$8,0),MATCH(T53,'G-7 WaterC'' Data'!$H$3:$L$3,0)),"")</f>
        <v>1</v>
      </c>
      <c r="V53" s="114" t="s">
        <v>1029</v>
      </c>
      <c r="W53" s="370" t="str">
        <f>IF(V53="","",IF(VLOOKUP(V53,'G-7 WaterC'' Data'!$AK$4:$AM$6,2,FALSE)=0,"Spatial Data Missing ⚠",VLOOKUP(V53,'G-7 WaterC'' Data'!$AK$4:$AM$6,2,FALSE)))</f>
        <v xml:space="preserve">High strategic significance </v>
      </c>
      <c r="X53" s="363">
        <f>IF(V53="","",IF(VLOOKUP(V53,'G-7 WaterC'' Data'!$AK$4:$AM$6,3,FALSE)=0,"Spatial Data Missing ⚠",VLOOKUP(V53,'G-7 WaterC'' Data'!$AK$4:$AM$6,3,FALSE)))</f>
        <v>1.1499999999999999</v>
      </c>
      <c r="Y53" s="362">
        <f>IFERROR(IF(OR(LEFT(P53,5)="Error",LEFT(O53,5)="Error ▲"),"Check Data ⚠",IF(F53&lt;S53,'G-7 WaterC'' Data'!$R$3,INDEX('G-7 WaterC'' Data'!$U$5:$Y$9,MATCH(G53,'G-7 WaterC'' Data'!$T$5:$T$9,0),MATCH(T53,'G-7 WaterC'' Data'!$U$4:$Y$4,0)))),"")</f>
        <v>1</v>
      </c>
      <c r="Z53" s="159">
        <v>0</v>
      </c>
      <c r="AA53" s="159">
        <v>0</v>
      </c>
      <c r="AB53" s="370" t="str">
        <f t="shared" si="3"/>
        <v>Standard time to target condition applied</v>
      </c>
      <c r="AC53" s="383">
        <f t="shared" si="4"/>
        <v>1</v>
      </c>
      <c r="AD53" s="422">
        <f>IFERROR(IF(AC53="Check Data ⚠","Check Data ⚠",VLOOKUP(AC53,'G-4 Temporal multipliers'!$A$4:$C$37,3,FALSE)),"")</f>
        <v>0.96499999999999997</v>
      </c>
      <c r="AE53" s="362" t="str">
        <f>IF(N53="","",VLOOKUP(N53,'G-7 WaterC'' Data'!$B$4:$G$8,5,FALSE))</f>
        <v>Medium</v>
      </c>
      <c r="AF53" s="370" t="str">
        <f t="shared" si="5"/>
        <v>Standard difficulty applied</v>
      </c>
      <c r="AG53" s="401" t="str">
        <f t="shared" si="6"/>
        <v>Medium</v>
      </c>
      <c r="AH53" s="363">
        <f t="shared" si="1"/>
        <v>0.67</v>
      </c>
      <c r="AI53" s="122" t="s">
        <v>1126</v>
      </c>
      <c r="AJ53" s="363">
        <f>IF(AI53="","",IF(VLOOKUP(AI53,'G-7 WaterC'' Data'!$AA$4:$AB$7,2,FALSE)=0,"Spatial Data Missing ⚠",VLOOKUP(AI53,'G-7 WaterC'' Data'!$AA$4:$AB$7,2,FALSE)))</f>
        <v>1</v>
      </c>
      <c r="AK53" s="123" t="s">
        <v>1142</v>
      </c>
      <c r="AL53" s="363">
        <f>IF(AK53="","",IF(VLOOKUP(AK53,'G-7 WaterC'' Data'!$AD$4:$AE$14,2,FALSE)=0,"Spatial Data Missing ⚠",VLOOKUP(AK53,'G-7 WaterC'' Data'!$AD$4:$AE$14,2,FALSE)))</f>
        <v>0.87</v>
      </c>
      <c r="AM53" s="405">
        <f t="shared" si="7"/>
        <v>0.25414832401287885</v>
      </c>
      <c r="AN53" s="117"/>
      <c r="AO53" s="118"/>
      <c r="AP53" s="120" t="s">
        <v>2048</v>
      </c>
      <c r="AV53" s="30" t="str">
        <f>IFERROR(INDEX('G-7 WaterC'' Data'!$AZ$3:$AZ$7,MATCH(N53,'G-7 WaterC'' Data'!$AY$3:$AY$7,0)),"")</f>
        <v>Rivercond1</v>
      </c>
    </row>
    <row r="54" spans="2:48" ht="28.5" x14ac:dyDescent="0.2">
      <c r="B54" s="392">
        <f>'C-1 On-Site WaterC'' Baseline'!AO52</f>
        <v>48</v>
      </c>
      <c r="C54" s="382" t="str">
        <f>IF(B54="","",VLOOKUP($B54,'C-1 On-Site WaterC'' Baseline'!$C$9:$R$257,2,FALSE))</f>
        <v>Ditches</v>
      </c>
      <c r="D54" s="382">
        <f>IF(C54="","",VLOOKUP($B54,'C-1 On-Site WaterC'' Baseline'!$C$9:$R$257,3,FALSE))</f>
        <v>0.42257326811620421</v>
      </c>
      <c r="E54" s="382" t="str">
        <f>IF(D54="","",VLOOKUP($B54,'C-1 On-Site WaterC'' Baseline'!$C$9:$R$257,4,FALSE))</f>
        <v>Medium</v>
      </c>
      <c r="F54" s="382">
        <f>IF(E54="","",VLOOKUP($B54,'C-1 On-Site WaterC'' Baseline'!$C$9:$R$257,5,FALSE))</f>
        <v>4</v>
      </c>
      <c r="G54" s="382" t="str">
        <f>IF(F54="","",VLOOKUP($B54,'C-1 On-Site WaterC'' Baseline'!$C$9:$R$257,6,FALSE))</f>
        <v>Poor</v>
      </c>
      <c r="H54" s="382">
        <f>IF(G54="","",VLOOKUP($B54,'C-1 On-Site WaterC'' Baseline'!$C$9:$R$257,7,FALSE))</f>
        <v>1</v>
      </c>
      <c r="I54" s="382" t="str">
        <f>IF(H54="","",VLOOKUP($B54,'C-1 On-Site WaterC'' Baseline'!$C$9:$R$257,8,FALSE))</f>
        <v>Formally identified in local strategy</v>
      </c>
      <c r="J54" s="382" t="str">
        <f>IF(I54="","",VLOOKUP($B54,'C-1 On-Site WaterC'' Baseline'!$C$9:$R$257,9,FALSE))</f>
        <v xml:space="preserve">High strategic significance </v>
      </c>
      <c r="K54" s="382">
        <f>IF(J54="","",VLOOKUP($B54,'C-1 On-Site WaterC'' Baseline'!$C$9:$R$257,10,FALSE))</f>
        <v>1.1499999999999999</v>
      </c>
      <c r="L54" s="382" t="str">
        <f>IF(B54="","",VLOOKUP($B54,'C-1 On-Site WaterC'' Baseline'!$C$9:$R$257,15,FALSE))</f>
        <v>Same habitat required =</v>
      </c>
      <c r="M54" s="386">
        <f>IF(L54="","",VLOOKUP($B54,'C-1 On-Site WaterC'' Baseline'!$C$9:$R$257,16,FALSE))</f>
        <v>1.4578777750009044</v>
      </c>
      <c r="N54" s="320" t="str">
        <f t="shared" si="0"/>
        <v>Ditches</v>
      </c>
      <c r="O54" s="362" t="str">
        <f t="shared" si="2"/>
        <v>Medium - Medium</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Poor - Poor</v>
      </c>
      <c r="Q54" s="425">
        <f>IF(N54="","",VLOOKUP(B54,'C-1 On-Site WaterC'' Baseline'!$C$10:$AB$257,19,FALSE))</f>
        <v>0.42257326811620421</v>
      </c>
      <c r="R54" s="362" t="str">
        <f>IF(N54="","",VLOOKUP(N54,'G-7 WaterC'' Data'!$B$2:$G$8,2,FALSE))</f>
        <v>Medium</v>
      </c>
      <c r="S54" s="363">
        <f>IFERROR(VLOOKUP(R54,'G-7 WaterC'' Data'!$C$4:$D$8,2,FALSE),"")</f>
        <v>4</v>
      </c>
      <c r="T54" s="114" t="s">
        <v>329</v>
      </c>
      <c r="U54" s="363">
        <f>IFERROR(INDEX('G-7 WaterC'' Data'!$H$4:$L$8,MATCH(N54,'G-7 WaterC'' Data'!$B$4:$B$8,0),MATCH(T54,'G-7 WaterC'' Data'!$H$3:$L$3,0)),"")</f>
        <v>1</v>
      </c>
      <c r="V54" s="114" t="s">
        <v>1029</v>
      </c>
      <c r="W54" s="370" t="str">
        <f>IF(V54="","",IF(VLOOKUP(V54,'G-7 WaterC'' Data'!$AK$4:$AM$6,2,FALSE)=0,"Spatial Data Missing ⚠",VLOOKUP(V54,'G-7 WaterC'' Data'!$AK$4:$AM$6,2,FALSE)))</f>
        <v xml:space="preserve">High strategic significance </v>
      </c>
      <c r="X54" s="363">
        <f>IF(V54="","",IF(VLOOKUP(V54,'G-7 WaterC'' Data'!$AK$4:$AM$6,3,FALSE)=0,"Spatial Data Missing ⚠",VLOOKUP(V54,'G-7 WaterC'' Data'!$AK$4:$AM$6,3,FALSE)))</f>
        <v>1.1499999999999999</v>
      </c>
      <c r="Y54" s="362">
        <f>IFERROR(IF(OR(LEFT(P54,5)="Error",LEFT(O54,5)="Error ▲"),"Check Data ⚠",IF(F54&lt;S54,'G-7 WaterC'' Data'!$R$3,INDEX('G-7 WaterC'' Data'!$U$5:$Y$9,MATCH(G54,'G-7 WaterC'' Data'!$T$5:$T$9,0),MATCH(T54,'G-7 WaterC'' Data'!$U$4:$Y$4,0)))),"")</f>
        <v>1</v>
      </c>
      <c r="Z54" s="159">
        <v>0</v>
      </c>
      <c r="AA54" s="159">
        <v>0</v>
      </c>
      <c r="AB54" s="370" t="str">
        <f t="shared" si="3"/>
        <v>Standard time to target condition applied</v>
      </c>
      <c r="AC54" s="383">
        <f t="shared" si="4"/>
        <v>1</v>
      </c>
      <c r="AD54" s="422">
        <f>IFERROR(IF(AC54="Check Data ⚠","Check Data ⚠",VLOOKUP(AC54,'G-4 Temporal multipliers'!$A$4:$C$37,3,FALSE)),"")</f>
        <v>0.96499999999999997</v>
      </c>
      <c r="AE54" s="362" t="str">
        <f>IF(N54="","",VLOOKUP(N54,'G-7 WaterC'' Data'!$B$4:$G$8,5,FALSE))</f>
        <v>Medium</v>
      </c>
      <c r="AF54" s="370" t="str">
        <f t="shared" si="5"/>
        <v>Standard difficulty applied</v>
      </c>
      <c r="AG54" s="401" t="str">
        <f t="shared" si="6"/>
        <v>Medium</v>
      </c>
      <c r="AH54" s="363">
        <f t="shared" si="1"/>
        <v>0.67</v>
      </c>
      <c r="AI54" s="122" t="s">
        <v>1126</v>
      </c>
      <c r="AJ54" s="363">
        <f>IF(AI54="","",IF(VLOOKUP(AI54,'G-7 WaterC'' Data'!$AA$4:$AB$7,2,FALSE)=0,"Spatial Data Missing ⚠",VLOOKUP(AI54,'G-7 WaterC'' Data'!$AA$4:$AB$7,2,FALSE)))</f>
        <v>1</v>
      </c>
      <c r="AK54" s="123" t="s">
        <v>1153</v>
      </c>
      <c r="AL54" s="363">
        <f>IF(AK54="","",IF(VLOOKUP(AK54,'G-7 WaterC'' Data'!$AD$4:$AE$14,2,FALSE)=0,"Spatial Data Missing ⚠",VLOOKUP(AK54,'G-7 WaterC'' Data'!$AD$4:$AE$14,2,FALSE)))</f>
        <v>1</v>
      </c>
      <c r="AM54" s="405">
        <f t="shared" si="7"/>
        <v>1.9438370333345392</v>
      </c>
      <c r="AN54" s="117"/>
      <c r="AO54" s="118"/>
      <c r="AP54" s="120" t="s">
        <v>2049</v>
      </c>
      <c r="AV54" s="30" t="str">
        <f>IFERROR(INDEX('G-7 WaterC'' Data'!$AZ$3:$AZ$7,MATCH(N54,'G-7 WaterC'' Data'!$AY$3:$AY$7,0)),"")</f>
        <v>Rivercond1</v>
      </c>
    </row>
    <row r="55" spans="2:48" ht="28.5" x14ac:dyDescent="0.2">
      <c r="B55" s="392">
        <f>'C-1 On-Site WaterC'' Baseline'!AO53</f>
        <v>49</v>
      </c>
      <c r="C55" s="382" t="str">
        <f>IF(B55="","",VLOOKUP($B55,'C-1 On-Site WaterC'' Baseline'!$C$9:$R$257,2,FALSE))</f>
        <v>Ditches</v>
      </c>
      <c r="D55" s="382">
        <f>IF(C55="","",VLOOKUP($B55,'C-1 On-Site WaterC'' Baseline'!$C$9:$R$257,3,FALSE))</f>
        <v>0.8380987293342872</v>
      </c>
      <c r="E55" s="382" t="str">
        <f>IF(D55="","",VLOOKUP($B55,'C-1 On-Site WaterC'' Baseline'!$C$9:$R$257,4,FALSE))</f>
        <v>Medium</v>
      </c>
      <c r="F55" s="382">
        <f>IF(E55="","",VLOOKUP($B55,'C-1 On-Site WaterC'' Baseline'!$C$9:$R$257,5,FALSE))</f>
        <v>4</v>
      </c>
      <c r="G55" s="382" t="str">
        <f>IF(F55="","",VLOOKUP($B55,'C-1 On-Site WaterC'' Baseline'!$C$9:$R$257,6,FALSE))</f>
        <v>Moderate</v>
      </c>
      <c r="H55" s="382">
        <f>IF(G55="","",VLOOKUP($B55,'C-1 On-Site WaterC'' Baseline'!$C$9:$R$257,7,FALSE))</f>
        <v>2</v>
      </c>
      <c r="I55" s="382" t="str">
        <f>IF(H55="","",VLOOKUP($B55,'C-1 On-Site WaterC'' Baseline'!$C$9:$R$257,8,FALSE))</f>
        <v>Formally identified in local strategy</v>
      </c>
      <c r="J55" s="382" t="str">
        <f>IF(I55="","",VLOOKUP($B55,'C-1 On-Site WaterC'' Baseline'!$C$9:$R$257,9,FALSE))</f>
        <v xml:space="preserve">High strategic significance </v>
      </c>
      <c r="K55" s="382">
        <f>IF(J55="","",VLOOKUP($B55,'C-1 On-Site WaterC'' Baseline'!$C$9:$R$257,10,FALSE))</f>
        <v>1.1499999999999999</v>
      </c>
      <c r="L55" s="382" t="str">
        <f>IF(B55="","",VLOOKUP($B55,'C-1 On-Site WaterC'' Baseline'!$C$9:$R$257,15,FALSE))</f>
        <v>Same habitat required =</v>
      </c>
      <c r="M55" s="386">
        <f>IF(L55="","",VLOOKUP($B55,'C-1 On-Site WaterC'' Baseline'!$C$9:$R$257,16,FALSE))</f>
        <v>5.7828812324065808</v>
      </c>
      <c r="N55" s="320" t="str">
        <f t="shared" si="0"/>
        <v>Ditches</v>
      </c>
      <c r="O55" s="362" t="str">
        <f t="shared" si="2"/>
        <v>Medium - Medium</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Moderate - Moderate</v>
      </c>
      <c r="Q55" s="425">
        <f>IF(N55="","",VLOOKUP(B55,'C-1 On-Site WaterC'' Baseline'!$C$10:$AB$257,19,FALSE))</f>
        <v>0.8380987293342872</v>
      </c>
      <c r="R55" s="362" t="str">
        <f>IF(N55="","",VLOOKUP(N55,'G-7 WaterC'' Data'!$B$2:$G$8,2,FALSE))</f>
        <v>Medium</v>
      </c>
      <c r="S55" s="363">
        <f>IFERROR(VLOOKUP(R55,'G-7 WaterC'' Data'!$C$4:$D$8,2,FALSE),"")</f>
        <v>4</v>
      </c>
      <c r="T55" s="114" t="s">
        <v>67</v>
      </c>
      <c r="U55" s="363">
        <f>IFERROR(INDEX('G-7 WaterC'' Data'!$H$4:$L$8,MATCH(N55,'G-7 WaterC'' Data'!$B$4:$B$8,0),MATCH(T55,'G-7 WaterC'' Data'!$H$3:$L$3,0)),"")</f>
        <v>2</v>
      </c>
      <c r="V55" s="114" t="s">
        <v>1029</v>
      </c>
      <c r="W55" s="370" t="str">
        <f>IF(V55="","",IF(VLOOKUP(V55,'G-7 WaterC'' Data'!$AK$4:$AM$6,2,FALSE)=0,"Spatial Data Missing ⚠",VLOOKUP(V55,'G-7 WaterC'' Data'!$AK$4:$AM$6,2,FALSE)))</f>
        <v xml:space="preserve">High strategic significance </v>
      </c>
      <c r="X55" s="363">
        <f>IF(V55="","",IF(VLOOKUP(V55,'G-7 WaterC'' Data'!$AK$4:$AM$6,3,FALSE)=0,"Spatial Data Missing ⚠",VLOOKUP(V55,'G-7 WaterC'' Data'!$AK$4:$AM$6,3,FALSE)))</f>
        <v>1.1499999999999999</v>
      </c>
      <c r="Y55" s="362">
        <f>IFERROR(IF(OR(LEFT(P55,5)="Error",LEFT(O55,5)="Error ▲"),"Check Data ⚠",IF(F55&lt;S55,'G-7 WaterC'' Data'!$R$3,INDEX('G-7 WaterC'' Data'!$U$5:$Y$9,MATCH(G55,'G-7 WaterC'' Data'!$T$5:$T$9,0),MATCH(T55,'G-7 WaterC'' Data'!$U$4:$Y$4,0)))),"")</f>
        <v>1</v>
      </c>
      <c r="Z55" s="159">
        <v>0</v>
      </c>
      <c r="AA55" s="159">
        <v>0</v>
      </c>
      <c r="AB55" s="370" t="str">
        <f t="shared" si="3"/>
        <v>Standard time to target condition applied</v>
      </c>
      <c r="AC55" s="383">
        <f t="shared" si="4"/>
        <v>1</v>
      </c>
      <c r="AD55" s="422">
        <f>IFERROR(IF(AC55="Check Data ⚠","Check Data ⚠",VLOOKUP(AC55,'G-4 Temporal multipliers'!$A$4:$C$37,3,FALSE)),"")</f>
        <v>0.96499999999999997</v>
      </c>
      <c r="AE55" s="362" t="str">
        <f>IF(N55="","",VLOOKUP(N55,'G-7 WaterC'' Data'!$B$4:$G$8,5,FALSE))</f>
        <v>Medium</v>
      </c>
      <c r="AF55" s="370" t="str">
        <f t="shared" si="5"/>
        <v>Standard difficulty applied</v>
      </c>
      <c r="AG55" s="401" t="str">
        <f t="shared" si="6"/>
        <v>Medium</v>
      </c>
      <c r="AH55" s="363">
        <f t="shared" si="1"/>
        <v>0.67</v>
      </c>
      <c r="AI55" s="122" t="s">
        <v>1126</v>
      </c>
      <c r="AJ55" s="363">
        <f>IF(AI55="","",IF(VLOOKUP(AI55,'G-7 WaterC'' Data'!$AA$4:$AB$7,2,FALSE)=0,"Spatial Data Missing ⚠",VLOOKUP(AI55,'G-7 WaterC'' Data'!$AA$4:$AB$7,2,FALSE)))</f>
        <v>1</v>
      </c>
      <c r="AK55" s="123" t="s">
        <v>1153</v>
      </c>
      <c r="AL55" s="363">
        <f>IF(AK55="","",IF(VLOOKUP(AK55,'G-7 WaterC'' Data'!$AD$4:$AE$14,2,FALSE)=0,"Spatial Data Missing ⚠",VLOOKUP(AK55,'G-7 WaterC'' Data'!$AD$4:$AE$14,2,FALSE)))</f>
        <v>1</v>
      </c>
      <c r="AM55" s="405">
        <f t="shared" si="7"/>
        <v>7.7105083098754417</v>
      </c>
      <c r="AN55" s="117"/>
      <c r="AO55" s="118"/>
      <c r="AP55" s="120" t="s">
        <v>2050</v>
      </c>
      <c r="AV55" s="30" t="str">
        <f>IFERROR(INDEX('G-7 WaterC'' Data'!$AZ$3:$AZ$7,MATCH(N55,'G-7 WaterC'' Data'!$AY$3:$AY$7,0)),"")</f>
        <v>Rivercond1</v>
      </c>
    </row>
    <row r="56" spans="2:48" ht="28.5" x14ac:dyDescent="0.2">
      <c r="B56" s="392">
        <f>'C-1 On-Site WaterC'' Baseline'!AO54</f>
        <v>50</v>
      </c>
      <c r="C56" s="382" t="str">
        <f>IF(B56="","",VLOOKUP($B56,'C-1 On-Site WaterC'' Baseline'!$C$9:$R$257,2,FALSE))</f>
        <v>Ditches</v>
      </c>
      <c r="D56" s="382">
        <f>IF(C56="","",VLOOKUP($B56,'C-1 On-Site WaterC'' Baseline'!$C$9:$R$257,3,FALSE))</f>
        <v>6.6351325868305278E-2</v>
      </c>
      <c r="E56" s="382" t="str">
        <f>IF(D56="","",VLOOKUP($B56,'C-1 On-Site WaterC'' Baseline'!$C$9:$R$257,4,FALSE))</f>
        <v>Medium</v>
      </c>
      <c r="F56" s="382">
        <f>IF(E56="","",VLOOKUP($B56,'C-1 On-Site WaterC'' Baseline'!$C$9:$R$257,5,FALSE))</f>
        <v>4</v>
      </c>
      <c r="G56" s="382" t="str">
        <f>IF(F56="","",VLOOKUP($B56,'C-1 On-Site WaterC'' Baseline'!$C$9:$R$257,6,FALSE))</f>
        <v>Poor</v>
      </c>
      <c r="H56" s="382">
        <f>IF(G56="","",VLOOKUP($B56,'C-1 On-Site WaterC'' Baseline'!$C$9:$R$257,7,FALSE))</f>
        <v>1</v>
      </c>
      <c r="I56" s="382" t="str">
        <f>IF(H56="","",VLOOKUP($B56,'C-1 On-Site WaterC'' Baseline'!$C$9:$R$257,8,FALSE))</f>
        <v>Area/compensation not in local strategy/ no local strategy</v>
      </c>
      <c r="J56" s="382" t="str">
        <f>IF(I56="","",VLOOKUP($B56,'C-1 On-Site WaterC'' Baseline'!$C$9:$R$257,9,FALSE))</f>
        <v>Low Strategic Significance</v>
      </c>
      <c r="K56" s="382">
        <f>IF(J56="","",VLOOKUP($B56,'C-1 On-Site WaterC'' Baseline'!$C$9:$R$257,10,FALSE))</f>
        <v>1</v>
      </c>
      <c r="L56" s="382" t="str">
        <f>IF(B56="","",VLOOKUP($B56,'C-1 On-Site WaterC'' Baseline'!$C$9:$R$257,15,FALSE))</f>
        <v>Same habitat required =</v>
      </c>
      <c r="M56" s="386">
        <f>IF(L56="","",VLOOKUP($B56,'C-1 On-Site WaterC'' Baseline'!$C$9:$R$257,16,FALSE))</f>
        <v>0.19905397760491583</v>
      </c>
      <c r="N56" s="320" t="str">
        <f t="shared" si="0"/>
        <v>Ditches</v>
      </c>
      <c r="O56" s="362" t="str">
        <f t="shared" si="2"/>
        <v>Medium - Medium</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Poor - Poor</v>
      </c>
      <c r="Q56" s="425">
        <f>IF(N56="","",VLOOKUP(B56,'C-1 On-Site WaterC'' Baseline'!$C$10:$AB$257,19,FALSE))</f>
        <v>6.6351325868305278E-2</v>
      </c>
      <c r="R56" s="362" t="str">
        <f>IF(N56="","",VLOOKUP(N56,'G-7 WaterC'' Data'!$B$2:$G$8,2,FALSE))</f>
        <v>Medium</v>
      </c>
      <c r="S56" s="363">
        <f>IFERROR(VLOOKUP(R56,'G-7 WaterC'' Data'!$C$4:$D$8,2,FALSE),"")</f>
        <v>4</v>
      </c>
      <c r="T56" s="114" t="s">
        <v>329</v>
      </c>
      <c r="U56" s="363">
        <f>IFERROR(INDEX('G-7 WaterC'' Data'!$H$4:$L$8,MATCH(N56,'G-7 WaterC'' Data'!$B$4:$B$8,0),MATCH(T56,'G-7 WaterC'' Data'!$H$3:$L$3,0)),"")</f>
        <v>1</v>
      </c>
      <c r="V56" s="114" t="s">
        <v>1037</v>
      </c>
      <c r="W56" s="370" t="str">
        <f>IF(V56="","",IF(VLOOKUP(V56,'G-7 WaterC'' Data'!$AK$4:$AM$6,2,FALSE)=0,"Spatial Data Missing ⚠",VLOOKUP(V56,'G-7 WaterC'' Data'!$AK$4:$AM$6,2,FALSE)))</f>
        <v>Low Strategic Significance</v>
      </c>
      <c r="X56" s="363">
        <f>IF(V56="","",IF(VLOOKUP(V56,'G-7 WaterC'' Data'!$AK$4:$AM$6,3,FALSE)=0,"Spatial Data Missing ⚠",VLOOKUP(V56,'G-7 WaterC'' Data'!$AK$4:$AM$6,3,FALSE)))</f>
        <v>1</v>
      </c>
      <c r="Y56" s="362">
        <f>IFERROR(IF(OR(LEFT(P56,5)="Error",LEFT(O56,5)="Error ▲"),"Check Data ⚠",IF(F56&lt;S56,'G-7 WaterC'' Data'!$R$3,INDEX('G-7 WaterC'' Data'!$U$5:$Y$9,MATCH(G56,'G-7 WaterC'' Data'!$T$5:$T$9,0),MATCH(T56,'G-7 WaterC'' Data'!$U$4:$Y$4,0)))),"")</f>
        <v>1</v>
      </c>
      <c r="Z56" s="159">
        <v>0</v>
      </c>
      <c r="AA56" s="159">
        <v>0</v>
      </c>
      <c r="AB56" s="370" t="str">
        <f t="shared" si="3"/>
        <v>Standard time to target condition applied</v>
      </c>
      <c r="AC56" s="383">
        <f t="shared" si="4"/>
        <v>1</v>
      </c>
      <c r="AD56" s="422">
        <f>IFERROR(IF(AC56="Check Data ⚠","Check Data ⚠",VLOOKUP(AC56,'G-4 Temporal multipliers'!$A$4:$C$37,3,FALSE)),"")</f>
        <v>0.96499999999999997</v>
      </c>
      <c r="AE56" s="362" t="str">
        <f>IF(N56="","",VLOOKUP(N56,'G-7 WaterC'' Data'!$B$4:$G$8,5,FALSE))</f>
        <v>Medium</v>
      </c>
      <c r="AF56" s="370" t="str">
        <f t="shared" si="5"/>
        <v>Standard difficulty applied</v>
      </c>
      <c r="AG56" s="401" t="str">
        <f t="shared" si="6"/>
        <v>Medium</v>
      </c>
      <c r="AH56" s="363">
        <f t="shared" si="1"/>
        <v>0.67</v>
      </c>
      <c r="AI56" s="122" t="s">
        <v>1126</v>
      </c>
      <c r="AJ56" s="363">
        <f>IF(AI56="","",IF(VLOOKUP(AI56,'G-7 WaterC'' Data'!$AA$4:$AB$7,2,FALSE)=0,"Spatial Data Missing ⚠",VLOOKUP(AI56,'G-7 WaterC'' Data'!$AA$4:$AB$7,2,FALSE)))</f>
        <v>1</v>
      </c>
      <c r="AK56" s="123" t="s">
        <v>1153</v>
      </c>
      <c r="AL56" s="363">
        <f>IF(AK56="","",IF(VLOOKUP(AK56,'G-7 WaterC'' Data'!$AD$4:$AE$14,2,FALSE)=0,"Spatial Data Missing ⚠",VLOOKUP(AK56,'G-7 WaterC'' Data'!$AD$4:$AE$14,2,FALSE)))</f>
        <v>1</v>
      </c>
      <c r="AM56" s="405">
        <f t="shared" si="7"/>
        <v>0.26540530347322111</v>
      </c>
      <c r="AN56" s="117"/>
      <c r="AO56" s="118"/>
      <c r="AP56" s="120" t="s">
        <v>2051</v>
      </c>
      <c r="AV56" s="30" t="str">
        <f>IFERROR(INDEX('G-7 WaterC'' Data'!$AZ$3:$AZ$7,MATCH(N56,'G-7 WaterC'' Data'!$AY$3:$AY$7,0)),"")</f>
        <v>Rivercond1</v>
      </c>
    </row>
    <row r="57" spans="2:48" ht="28.5" x14ac:dyDescent="0.2">
      <c r="B57" s="392">
        <f>'C-1 On-Site WaterC'' Baseline'!AO55</f>
        <v>51</v>
      </c>
      <c r="C57" s="382" t="str">
        <f>IF(B57="","",VLOOKUP($B57,'C-1 On-Site WaterC'' Baseline'!$C$9:$R$257,2,FALSE))</f>
        <v>Ditches</v>
      </c>
      <c r="D57" s="382">
        <f>IF(C57="","",VLOOKUP($B57,'C-1 On-Site WaterC'' Baseline'!$C$9:$R$257,3,FALSE))</f>
        <v>0.37223848034557527</v>
      </c>
      <c r="E57" s="382" t="str">
        <f>IF(D57="","",VLOOKUP($B57,'C-1 On-Site WaterC'' Baseline'!$C$9:$R$257,4,FALSE))</f>
        <v>Medium</v>
      </c>
      <c r="F57" s="382">
        <f>IF(E57="","",VLOOKUP($B57,'C-1 On-Site WaterC'' Baseline'!$C$9:$R$257,5,FALSE))</f>
        <v>4</v>
      </c>
      <c r="G57" s="382" t="str">
        <f>IF(F57="","",VLOOKUP($B57,'C-1 On-Site WaterC'' Baseline'!$C$9:$R$257,6,FALSE))</f>
        <v>Poor</v>
      </c>
      <c r="H57" s="382">
        <f>IF(G57="","",VLOOKUP($B57,'C-1 On-Site WaterC'' Baseline'!$C$9:$R$257,7,FALSE))</f>
        <v>1</v>
      </c>
      <c r="I57" s="382" t="str">
        <f>IF(H57="","",VLOOKUP($B57,'C-1 On-Site WaterC'' Baseline'!$C$9:$R$257,8,FALSE))</f>
        <v>Formally identified in local strategy</v>
      </c>
      <c r="J57" s="382" t="str">
        <f>IF(I57="","",VLOOKUP($B57,'C-1 On-Site WaterC'' Baseline'!$C$9:$R$257,9,FALSE))</f>
        <v xml:space="preserve">High strategic significance </v>
      </c>
      <c r="K57" s="382">
        <f>IF(J57="","",VLOOKUP($B57,'C-1 On-Site WaterC'' Baseline'!$C$9:$R$257,10,FALSE))</f>
        <v>1.1499999999999999</v>
      </c>
      <c r="L57" s="382" t="str">
        <f>IF(B57="","",VLOOKUP($B57,'C-1 On-Site WaterC'' Baseline'!$C$9:$R$257,15,FALSE))</f>
        <v>Same habitat required =</v>
      </c>
      <c r="M57" s="386">
        <f>IF(L57="","",VLOOKUP($B57,'C-1 On-Site WaterC'' Baseline'!$C$9:$R$257,16,FALSE))</f>
        <v>1.2842227571922347</v>
      </c>
      <c r="N57" s="320" t="str">
        <f t="shared" si="0"/>
        <v>Ditches</v>
      </c>
      <c r="O57" s="362" t="str">
        <f t="shared" si="2"/>
        <v>Medium - Medium</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Poor - Poor</v>
      </c>
      <c r="Q57" s="425">
        <f>IF(N57="","",VLOOKUP(B57,'C-1 On-Site WaterC'' Baseline'!$C$10:$AB$257,19,FALSE))</f>
        <v>0.37223848034557527</v>
      </c>
      <c r="R57" s="362" t="str">
        <f>IF(N57="","",VLOOKUP(N57,'G-7 WaterC'' Data'!$B$2:$G$8,2,FALSE))</f>
        <v>Medium</v>
      </c>
      <c r="S57" s="363">
        <f>IFERROR(VLOOKUP(R57,'G-7 WaterC'' Data'!$C$4:$D$8,2,FALSE),"")</f>
        <v>4</v>
      </c>
      <c r="T57" s="114" t="s">
        <v>329</v>
      </c>
      <c r="U57" s="363">
        <f>IFERROR(INDEX('G-7 WaterC'' Data'!$H$4:$L$8,MATCH(N57,'G-7 WaterC'' Data'!$B$4:$B$8,0),MATCH(T57,'G-7 WaterC'' Data'!$H$3:$L$3,0)),"")</f>
        <v>1</v>
      </c>
      <c r="V57" s="114" t="s">
        <v>1029</v>
      </c>
      <c r="W57" s="370" t="str">
        <f>IF(V57="","",IF(VLOOKUP(V57,'G-7 WaterC'' Data'!$AK$4:$AM$6,2,FALSE)=0,"Spatial Data Missing ⚠",VLOOKUP(V57,'G-7 WaterC'' Data'!$AK$4:$AM$6,2,FALSE)))</f>
        <v xml:space="preserve">High strategic significance </v>
      </c>
      <c r="X57" s="363">
        <f>IF(V57="","",IF(VLOOKUP(V57,'G-7 WaterC'' Data'!$AK$4:$AM$6,3,FALSE)=0,"Spatial Data Missing ⚠",VLOOKUP(V57,'G-7 WaterC'' Data'!$AK$4:$AM$6,3,FALSE)))</f>
        <v>1.1499999999999999</v>
      </c>
      <c r="Y57" s="362">
        <f>IFERROR(IF(OR(LEFT(P57,5)="Error",LEFT(O57,5)="Error ▲"),"Check Data ⚠",IF(F57&lt;S57,'G-7 WaterC'' Data'!$R$3,INDEX('G-7 WaterC'' Data'!$U$5:$Y$9,MATCH(G57,'G-7 WaterC'' Data'!$T$5:$T$9,0),MATCH(T57,'G-7 WaterC'' Data'!$U$4:$Y$4,0)))),"")</f>
        <v>1</v>
      </c>
      <c r="Z57" s="159">
        <v>0</v>
      </c>
      <c r="AA57" s="159">
        <v>0</v>
      </c>
      <c r="AB57" s="370" t="str">
        <f t="shared" si="3"/>
        <v>Standard time to target condition applied</v>
      </c>
      <c r="AC57" s="383">
        <f t="shared" si="4"/>
        <v>1</v>
      </c>
      <c r="AD57" s="422">
        <f>IFERROR(IF(AC57="Check Data ⚠","Check Data ⚠",VLOOKUP(AC57,'G-4 Temporal multipliers'!$A$4:$C$37,3,FALSE)),"")</f>
        <v>0.96499999999999997</v>
      </c>
      <c r="AE57" s="362" t="str">
        <f>IF(N57="","",VLOOKUP(N57,'G-7 WaterC'' Data'!$B$4:$G$8,5,FALSE))</f>
        <v>Medium</v>
      </c>
      <c r="AF57" s="370" t="str">
        <f t="shared" si="5"/>
        <v>Standard difficulty applied</v>
      </c>
      <c r="AG57" s="401" t="str">
        <f t="shared" si="6"/>
        <v>Medium</v>
      </c>
      <c r="AH57" s="363">
        <f t="shared" si="1"/>
        <v>0.67</v>
      </c>
      <c r="AI57" s="122" t="s">
        <v>1126</v>
      </c>
      <c r="AJ57" s="363">
        <f>IF(AI57="","",IF(VLOOKUP(AI57,'G-7 WaterC'' Data'!$AA$4:$AB$7,2,FALSE)=0,"Spatial Data Missing ⚠",VLOOKUP(AI57,'G-7 WaterC'' Data'!$AA$4:$AB$7,2,FALSE)))</f>
        <v>1</v>
      </c>
      <c r="AK57" s="123" t="s">
        <v>1153</v>
      </c>
      <c r="AL57" s="363">
        <f>IF(AK57="","",IF(VLOOKUP(AK57,'G-7 WaterC'' Data'!$AD$4:$AE$14,2,FALSE)=0,"Spatial Data Missing ⚠",VLOOKUP(AK57,'G-7 WaterC'' Data'!$AD$4:$AE$14,2,FALSE)))</f>
        <v>1</v>
      </c>
      <c r="AM57" s="405">
        <f t="shared" si="7"/>
        <v>1.7122970095896461</v>
      </c>
      <c r="AN57" s="117"/>
      <c r="AO57" s="118"/>
      <c r="AP57" s="120" t="s">
        <v>2052</v>
      </c>
      <c r="AV57" s="30" t="str">
        <f>IFERROR(INDEX('G-7 WaterC'' Data'!$AZ$3:$AZ$7,MATCH(N57,'G-7 WaterC'' Data'!$AY$3:$AY$7,0)),"")</f>
        <v>Rivercond1</v>
      </c>
    </row>
    <row r="58" spans="2:48" ht="28.5" x14ac:dyDescent="0.2">
      <c r="B58" s="392">
        <f>'C-1 On-Site WaterC'' Baseline'!AO56</f>
        <v>52</v>
      </c>
      <c r="C58" s="382" t="str">
        <f>IF(B58="","",VLOOKUP($B58,'C-1 On-Site WaterC'' Baseline'!$C$9:$R$257,2,FALSE))</f>
        <v>Ditches</v>
      </c>
      <c r="D58" s="382">
        <f>IF(C58="","",VLOOKUP($B58,'C-1 On-Site WaterC'' Baseline'!$C$9:$R$257,3,FALSE))</f>
        <v>0.43216254065906151</v>
      </c>
      <c r="E58" s="382" t="str">
        <f>IF(D58="","",VLOOKUP($B58,'C-1 On-Site WaterC'' Baseline'!$C$9:$R$257,4,FALSE))</f>
        <v>Medium</v>
      </c>
      <c r="F58" s="382">
        <f>IF(E58="","",VLOOKUP($B58,'C-1 On-Site WaterC'' Baseline'!$C$9:$R$257,5,FALSE))</f>
        <v>4</v>
      </c>
      <c r="G58" s="382" t="str">
        <f>IF(F58="","",VLOOKUP($B58,'C-1 On-Site WaterC'' Baseline'!$C$9:$R$257,6,FALSE))</f>
        <v>Poor</v>
      </c>
      <c r="H58" s="382">
        <f>IF(G58="","",VLOOKUP($B58,'C-1 On-Site WaterC'' Baseline'!$C$9:$R$257,7,FALSE))</f>
        <v>1</v>
      </c>
      <c r="I58" s="382" t="str">
        <f>IF(H58="","",VLOOKUP($B58,'C-1 On-Site WaterC'' Baseline'!$C$9:$R$257,8,FALSE))</f>
        <v>Area/compensation not in local strategy/ no local strategy</v>
      </c>
      <c r="J58" s="382" t="str">
        <f>IF(I58="","",VLOOKUP($B58,'C-1 On-Site WaterC'' Baseline'!$C$9:$R$257,9,FALSE))</f>
        <v>Low Strategic Significance</v>
      </c>
      <c r="K58" s="382">
        <f>IF(J58="","",VLOOKUP($B58,'C-1 On-Site WaterC'' Baseline'!$C$9:$R$257,10,FALSE))</f>
        <v>1</v>
      </c>
      <c r="L58" s="382" t="str">
        <f>IF(B58="","",VLOOKUP($B58,'C-1 On-Site WaterC'' Baseline'!$C$9:$R$257,15,FALSE))</f>
        <v>Same habitat required =</v>
      </c>
      <c r="M58" s="386">
        <f>IF(L58="","",VLOOKUP($B58,'C-1 On-Site WaterC'' Baseline'!$C$9:$R$257,16,FALSE))</f>
        <v>1.2964876219771846</v>
      </c>
      <c r="N58" s="320" t="str">
        <f t="shared" si="0"/>
        <v>Ditches</v>
      </c>
      <c r="O58" s="362" t="str">
        <f t="shared" si="2"/>
        <v>Medium - Medium</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Poor - Poor</v>
      </c>
      <c r="Q58" s="425">
        <f>IF(N58="","",VLOOKUP(B58,'C-1 On-Site WaterC'' Baseline'!$C$10:$AB$257,19,FALSE))</f>
        <v>0.43216254065906151</v>
      </c>
      <c r="R58" s="362" t="str">
        <f>IF(N58="","",VLOOKUP(N58,'G-7 WaterC'' Data'!$B$2:$G$8,2,FALSE))</f>
        <v>Medium</v>
      </c>
      <c r="S58" s="363">
        <f>IFERROR(VLOOKUP(R58,'G-7 WaterC'' Data'!$C$4:$D$8,2,FALSE),"")</f>
        <v>4</v>
      </c>
      <c r="T58" s="114" t="s">
        <v>329</v>
      </c>
      <c r="U58" s="363">
        <f>IFERROR(INDEX('G-7 WaterC'' Data'!$H$4:$L$8,MATCH(N58,'G-7 WaterC'' Data'!$B$4:$B$8,0),MATCH(T58,'G-7 WaterC'' Data'!$H$3:$L$3,0)),"")</f>
        <v>1</v>
      </c>
      <c r="V58" s="114" t="s">
        <v>1037</v>
      </c>
      <c r="W58" s="370" t="str">
        <f>IF(V58="","",IF(VLOOKUP(V58,'G-7 WaterC'' Data'!$AK$4:$AM$6,2,FALSE)=0,"Spatial Data Missing ⚠",VLOOKUP(V58,'G-7 WaterC'' Data'!$AK$4:$AM$6,2,FALSE)))</f>
        <v>Low Strategic Significance</v>
      </c>
      <c r="X58" s="363">
        <f>IF(V58="","",IF(VLOOKUP(V58,'G-7 WaterC'' Data'!$AK$4:$AM$6,3,FALSE)=0,"Spatial Data Missing ⚠",VLOOKUP(V58,'G-7 WaterC'' Data'!$AK$4:$AM$6,3,FALSE)))</f>
        <v>1</v>
      </c>
      <c r="Y58" s="362">
        <f>IFERROR(IF(OR(LEFT(P58,5)="Error",LEFT(O58,5)="Error ▲"),"Check Data ⚠",IF(F58&lt;S58,'G-7 WaterC'' Data'!$R$3,INDEX('G-7 WaterC'' Data'!$U$5:$Y$9,MATCH(G58,'G-7 WaterC'' Data'!$T$5:$T$9,0),MATCH(T58,'G-7 WaterC'' Data'!$U$4:$Y$4,0)))),"")</f>
        <v>1</v>
      </c>
      <c r="Z58" s="159">
        <v>0</v>
      </c>
      <c r="AA58" s="159">
        <v>0</v>
      </c>
      <c r="AB58" s="370" t="str">
        <f t="shared" si="3"/>
        <v>Standard time to target condition applied</v>
      </c>
      <c r="AC58" s="383">
        <f t="shared" si="4"/>
        <v>1</v>
      </c>
      <c r="AD58" s="422">
        <f>IFERROR(IF(AC58="Check Data ⚠","Check Data ⚠",VLOOKUP(AC58,'G-4 Temporal multipliers'!$A$4:$C$37,3,FALSE)),"")</f>
        <v>0.96499999999999997</v>
      </c>
      <c r="AE58" s="362" t="str">
        <f>IF(N58="","",VLOOKUP(N58,'G-7 WaterC'' Data'!$B$4:$G$8,5,FALSE))</f>
        <v>Medium</v>
      </c>
      <c r="AF58" s="370" t="str">
        <f t="shared" si="5"/>
        <v>Standard difficulty applied</v>
      </c>
      <c r="AG58" s="401" t="str">
        <f t="shared" si="6"/>
        <v>Medium</v>
      </c>
      <c r="AH58" s="363">
        <f t="shared" si="1"/>
        <v>0.67</v>
      </c>
      <c r="AI58" s="122" t="s">
        <v>1126</v>
      </c>
      <c r="AJ58" s="363">
        <f>IF(AI58="","",IF(VLOOKUP(AI58,'G-7 WaterC'' Data'!$AA$4:$AB$7,2,FALSE)=0,"Spatial Data Missing ⚠",VLOOKUP(AI58,'G-7 WaterC'' Data'!$AA$4:$AB$7,2,FALSE)))</f>
        <v>1</v>
      </c>
      <c r="AK58" s="123" t="s">
        <v>1153</v>
      </c>
      <c r="AL58" s="363">
        <f>IF(AK58="","",IF(VLOOKUP(AK58,'G-7 WaterC'' Data'!$AD$4:$AE$14,2,FALSE)=0,"Spatial Data Missing ⚠",VLOOKUP(AK58,'G-7 WaterC'' Data'!$AD$4:$AE$14,2,FALSE)))</f>
        <v>1</v>
      </c>
      <c r="AM58" s="405">
        <f t="shared" si="7"/>
        <v>1.728650162636246</v>
      </c>
      <c r="AN58" s="117"/>
      <c r="AO58" s="118"/>
      <c r="AP58" s="120" t="s">
        <v>2053</v>
      </c>
      <c r="AV58" s="30" t="str">
        <f>IFERROR(INDEX('G-7 WaterC'' Data'!$AZ$3:$AZ$7,MATCH(N58,'G-7 WaterC'' Data'!$AY$3:$AY$7,0)),"")</f>
        <v>Rivercond1</v>
      </c>
    </row>
    <row r="59" spans="2:48" ht="28.5" x14ac:dyDescent="0.2">
      <c r="B59" s="392">
        <f>'C-1 On-Site WaterC'' Baseline'!AO57</f>
        <v>53</v>
      </c>
      <c r="C59" s="382" t="str">
        <f>IF(B59="","",VLOOKUP($B59,'C-1 On-Site WaterC'' Baseline'!$C$9:$R$257,2,FALSE))</f>
        <v>Ditches</v>
      </c>
      <c r="D59" s="382">
        <f>IF(C59="","",VLOOKUP($B59,'C-1 On-Site WaterC'' Baseline'!$C$9:$R$257,3,FALSE))</f>
        <v>8.8768692715044935E-4</v>
      </c>
      <c r="E59" s="382" t="str">
        <f>IF(D59="","",VLOOKUP($B59,'C-1 On-Site WaterC'' Baseline'!$C$9:$R$257,4,FALSE))</f>
        <v>Medium</v>
      </c>
      <c r="F59" s="382">
        <f>IF(E59="","",VLOOKUP($B59,'C-1 On-Site WaterC'' Baseline'!$C$9:$R$257,5,FALSE))</f>
        <v>4</v>
      </c>
      <c r="G59" s="382" t="str">
        <f>IF(F59="","",VLOOKUP($B59,'C-1 On-Site WaterC'' Baseline'!$C$9:$R$257,6,FALSE))</f>
        <v>Poor</v>
      </c>
      <c r="H59" s="382">
        <f>IF(G59="","",VLOOKUP($B59,'C-1 On-Site WaterC'' Baseline'!$C$9:$R$257,7,FALSE))</f>
        <v>1</v>
      </c>
      <c r="I59" s="382" t="str">
        <f>IF(H59="","",VLOOKUP($B59,'C-1 On-Site WaterC'' Baseline'!$C$9:$R$257,8,FALSE))</f>
        <v>Formally identified in local strategy</v>
      </c>
      <c r="J59" s="382" t="str">
        <f>IF(I59="","",VLOOKUP($B59,'C-1 On-Site WaterC'' Baseline'!$C$9:$R$257,9,FALSE))</f>
        <v xml:space="preserve">High strategic significance </v>
      </c>
      <c r="K59" s="382">
        <f>IF(J59="","",VLOOKUP($B59,'C-1 On-Site WaterC'' Baseline'!$C$9:$R$257,10,FALSE))</f>
        <v>1.1499999999999999</v>
      </c>
      <c r="L59" s="382" t="str">
        <f>IF(B59="","",VLOOKUP($B59,'C-1 On-Site WaterC'' Baseline'!$C$9:$R$257,15,FALSE))</f>
        <v>Same habitat required =</v>
      </c>
      <c r="M59" s="386">
        <f>IF(L59="","",VLOOKUP($B59,'C-1 On-Site WaterC'' Baseline'!$C$9:$R$257,16,FALSE))</f>
        <v>3.0625198986690503E-3</v>
      </c>
      <c r="N59" s="320" t="str">
        <f t="shared" si="0"/>
        <v>Ditches</v>
      </c>
      <c r="O59" s="362" t="str">
        <f t="shared" si="2"/>
        <v>Medium - Medium</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Poor - Poor</v>
      </c>
      <c r="Q59" s="425">
        <f>IF(N59="","",VLOOKUP(B59,'C-1 On-Site WaterC'' Baseline'!$C$10:$AB$257,19,FALSE))</f>
        <v>8.8768692715044935E-4</v>
      </c>
      <c r="R59" s="362" t="str">
        <f>IF(N59="","",VLOOKUP(N59,'G-7 WaterC'' Data'!$B$2:$G$8,2,FALSE))</f>
        <v>Medium</v>
      </c>
      <c r="S59" s="363">
        <f>IFERROR(VLOOKUP(R59,'G-7 WaterC'' Data'!$C$4:$D$8,2,FALSE),"")</f>
        <v>4</v>
      </c>
      <c r="T59" s="114" t="s">
        <v>329</v>
      </c>
      <c r="U59" s="363">
        <f>IFERROR(INDEX('G-7 WaterC'' Data'!$H$4:$L$8,MATCH(N59,'G-7 WaterC'' Data'!$B$4:$B$8,0),MATCH(T59,'G-7 WaterC'' Data'!$H$3:$L$3,0)),"")</f>
        <v>1</v>
      </c>
      <c r="V59" s="114" t="s">
        <v>1029</v>
      </c>
      <c r="W59" s="370" t="str">
        <f>IF(V59="","",IF(VLOOKUP(V59,'G-7 WaterC'' Data'!$AK$4:$AM$6,2,FALSE)=0,"Spatial Data Missing ⚠",VLOOKUP(V59,'G-7 WaterC'' Data'!$AK$4:$AM$6,2,FALSE)))</f>
        <v xml:space="preserve">High strategic significance </v>
      </c>
      <c r="X59" s="363">
        <f>IF(V59="","",IF(VLOOKUP(V59,'G-7 WaterC'' Data'!$AK$4:$AM$6,3,FALSE)=0,"Spatial Data Missing ⚠",VLOOKUP(V59,'G-7 WaterC'' Data'!$AK$4:$AM$6,3,FALSE)))</f>
        <v>1.1499999999999999</v>
      </c>
      <c r="Y59" s="362">
        <f>IFERROR(IF(OR(LEFT(P59,5)="Error",LEFT(O59,5)="Error ▲"),"Check Data ⚠",IF(F59&lt;S59,'G-7 WaterC'' Data'!$R$3,INDEX('G-7 WaterC'' Data'!$U$5:$Y$9,MATCH(G59,'G-7 WaterC'' Data'!$T$5:$T$9,0),MATCH(T59,'G-7 WaterC'' Data'!$U$4:$Y$4,0)))),"")</f>
        <v>1</v>
      </c>
      <c r="Z59" s="159">
        <v>0</v>
      </c>
      <c r="AA59" s="159">
        <v>0</v>
      </c>
      <c r="AB59" s="370" t="str">
        <f t="shared" si="3"/>
        <v>Standard time to target condition applied</v>
      </c>
      <c r="AC59" s="383">
        <f t="shared" si="4"/>
        <v>1</v>
      </c>
      <c r="AD59" s="422">
        <f>IFERROR(IF(AC59="Check Data ⚠","Check Data ⚠",VLOOKUP(AC59,'G-4 Temporal multipliers'!$A$4:$C$37,3,FALSE)),"")</f>
        <v>0.96499999999999997</v>
      </c>
      <c r="AE59" s="362" t="str">
        <f>IF(N59="","",VLOOKUP(N59,'G-7 WaterC'' Data'!$B$4:$G$8,5,FALSE))</f>
        <v>Medium</v>
      </c>
      <c r="AF59" s="370" t="str">
        <f t="shared" si="5"/>
        <v>Standard difficulty applied</v>
      </c>
      <c r="AG59" s="401" t="str">
        <f t="shared" si="6"/>
        <v>Medium</v>
      </c>
      <c r="AH59" s="363">
        <f t="shared" si="1"/>
        <v>0.67</v>
      </c>
      <c r="AI59" s="122" t="s">
        <v>1126</v>
      </c>
      <c r="AJ59" s="363">
        <f>IF(AI59="","",IF(VLOOKUP(AI59,'G-7 WaterC'' Data'!$AA$4:$AB$7,2,FALSE)=0,"Spatial Data Missing ⚠",VLOOKUP(AI59,'G-7 WaterC'' Data'!$AA$4:$AB$7,2,FALSE)))</f>
        <v>1</v>
      </c>
      <c r="AK59" s="123" t="s">
        <v>1153</v>
      </c>
      <c r="AL59" s="363">
        <f>IF(AK59="","",IF(VLOOKUP(AK59,'G-7 WaterC'' Data'!$AD$4:$AE$14,2,FALSE)=0,"Spatial Data Missing ⚠",VLOOKUP(AK59,'G-7 WaterC'' Data'!$AD$4:$AE$14,2,FALSE)))</f>
        <v>1</v>
      </c>
      <c r="AM59" s="405">
        <f t="shared" si="7"/>
        <v>4.0833598648920668E-3</v>
      </c>
      <c r="AN59" s="117"/>
      <c r="AO59" s="118"/>
      <c r="AP59" s="120" t="s">
        <v>2054</v>
      </c>
      <c r="AV59" s="30" t="str">
        <f>IFERROR(INDEX('G-7 WaterC'' Data'!$AZ$3:$AZ$7,MATCH(N59,'G-7 WaterC'' Data'!$AY$3:$AY$7,0)),"")</f>
        <v>Rivercond1</v>
      </c>
    </row>
    <row r="60" spans="2:48" ht="28.5" x14ac:dyDescent="0.2">
      <c r="B60" s="392">
        <f>'C-1 On-Site WaterC'' Baseline'!AO58</f>
        <v>54</v>
      </c>
      <c r="C60" s="382" t="str">
        <f>IF(B60="","",VLOOKUP($B60,'C-1 On-Site WaterC'' Baseline'!$C$9:$R$257,2,FALSE))</f>
        <v>Ditches</v>
      </c>
      <c r="D60" s="382">
        <f>IF(C60="","",VLOOKUP($B60,'C-1 On-Site WaterC'' Baseline'!$C$9:$R$257,3,FALSE))</f>
        <v>0.23762175421708309</v>
      </c>
      <c r="E60" s="382" t="str">
        <f>IF(D60="","",VLOOKUP($B60,'C-1 On-Site WaterC'' Baseline'!$C$9:$R$257,4,FALSE))</f>
        <v>Medium</v>
      </c>
      <c r="F60" s="382">
        <f>IF(E60="","",VLOOKUP($B60,'C-1 On-Site WaterC'' Baseline'!$C$9:$R$257,5,FALSE))</f>
        <v>4</v>
      </c>
      <c r="G60" s="382" t="str">
        <f>IF(F60="","",VLOOKUP($B60,'C-1 On-Site WaterC'' Baseline'!$C$9:$R$257,6,FALSE))</f>
        <v>Poor</v>
      </c>
      <c r="H60" s="382">
        <f>IF(G60="","",VLOOKUP($B60,'C-1 On-Site WaterC'' Baseline'!$C$9:$R$257,7,FALSE))</f>
        <v>1</v>
      </c>
      <c r="I60" s="382" t="str">
        <f>IF(H60="","",VLOOKUP($B60,'C-1 On-Site WaterC'' Baseline'!$C$9:$R$257,8,FALSE))</f>
        <v>Area/compensation not in local strategy/ no local strategy</v>
      </c>
      <c r="J60" s="382" t="str">
        <f>IF(I60="","",VLOOKUP($B60,'C-1 On-Site WaterC'' Baseline'!$C$9:$R$257,9,FALSE))</f>
        <v>Low Strategic Significance</v>
      </c>
      <c r="K60" s="382">
        <f>IF(J60="","",VLOOKUP($B60,'C-1 On-Site WaterC'' Baseline'!$C$9:$R$257,10,FALSE))</f>
        <v>1</v>
      </c>
      <c r="L60" s="382" t="str">
        <f>IF(B60="","",VLOOKUP($B60,'C-1 On-Site WaterC'' Baseline'!$C$9:$R$257,15,FALSE))</f>
        <v>Same habitat required =</v>
      </c>
      <c r="M60" s="386">
        <f>IF(L60="","",VLOOKUP($B60,'C-1 On-Site WaterC'' Baseline'!$C$9:$R$257,16,FALSE))</f>
        <v>0.71286526265124928</v>
      </c>
      <c r="N60" s="320" t="str">
        <f t="shared" si="0"/>
        <v>Ditches</v>
      </c>
      <c r="O60" s="362" t="str">
        <f t="shared" si="2"/>
        <v>Medium - Medium</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Poor - Poor</v>
      </c>
      <c r="Q60" s="425">
        <f>IF(N60="","",VLOOKUP(B60,'C-1 On-Site WaterC'' Baseline'!$C$10:$AB$257,19,FALSE))</f>
        <v>0.23762175421708309</v>
      </c>
      <c r="R60" s="362" t="str">
        <f>IF(N60="","",VLOOKUP(N60,'G-7 WaterC'' Data'!$B$2:$G$8,2,FALSE))</f>
        <v>Medium</v>
      </c>
      <c r="S60" s="363">
        <f>IFERROR(VLOOKUP(R60,'G-7 WaterC'' Data'!$C$4:$D$8,2,FALSE),"")</f>
        <v>4</v>
      </c>
      <c r="T60" s="114" t="s">
        <v>329</v>
      </c>
      <c r="U60" s="363">
        <f>IFERROR(INDEX('G-7 WaterC'' Data'!$H$4:$L$8,MATCH(N60,'G-7 WaterC'' Data'!$B$4:$B$8,0),MATCH(T60,'G-7 WaterC'' Data'!$H$3:$L$3,0)),"")</f>
        <v>1</v>
      </c>
      <c r="V60" s="114" t="s">
        <v>1037</v>
      </c>
      <c r="W60" s="370" t="str">
        <f>IF(V60="","",IF(VLOOKUP(V60,'G-7 WaterC'' Data'!$AK$4:$AM$6,2,FALSE)=0,"Spatial Data Missing ⚠",VLOOKUP(V60,'G-7 WaterC'' Data'!$AK$4:$AM$6,2,FALSE)))</f>
        <v>Low Strategic Significance</v>
      </c>
      <c r="X60" s="363">
        <f>IF(V60="","",IF(VLOOKUP(V60,'G-7 WaterC'' Data'!$AK$4:$AM$6,3,FALSE)=0,"Spatial Data Missing ⚠",VLOOKUP(V60,'G-7 WaterC'' Data'!$AK$4:$AM$6,3,FALSE)))</f>
        <v>1</v>
      </c>
      <c r="Y60" s="362">
        <f>IFERROR(IF(OR(LEFT(P60,5)="Error",LEFT(O60,5)="Error ▲"),"Check Data ⚠",IF(F60&lt;S60,'G-7 WaterC'' Data'!$R$3,INDEX('G-7 WaterC'' Data'!$U$5:$Y$9,MATCH(G60,'G-7 WaterC'' Data'!$T$5:$T$9,0),MATCH(T60,'G-7 WaterC'' Data'!$U$4:$Y$4,0)))),"")</f>
        <v>1</v>
      </c>
      <c r="Z60" s="159">
        <v>0</v>
      </c>
      <c r="AA60" s="159">
        <v>0</v>
      </c>
      <c r="AB60" s="370" t="str">
        <f t="shared" si="3"/>
        <v>Standard time to target condition applied</v>
      </c>
      <c r="AC60" s="383">
        <f t="shared" si="4"/>
        <v>1</v>
      </c>
      <c r="AD60" s="422">
        <f>IFERROR(IF(AC60="Check Data ⚠","Check Data ⚠",VLOOKUP(AC60,'G-4 Temporal multipliers'!$A$4:$C$37,3,FALSE)),"")</f>
        <v>0.96499999999999997</v>
      </c>
      <c r="AE60" s="362" t="str">
        <f>IF(N60="","",VLOOKUP(N60,'G-7 WaterC'' Data'!$B$4:$G$8,5,FALSE))</f>
        <v>Medium</v>
      </c>
      <c r="AF60" s="370" t="str">
        <f t="shared" si="5"/>
        <v>Standard difficulty applied</v>
      </c>
      <c r="AG60" s="401" t="str">
        <f t="shared" si="6"/>
        <v>Medium</v>
      </c>
      <c r="AH60" s="363">
        <f t="shared" si="1"/>
        <v>0.67</v>
      </c>
      <c r="AI60" s="122" t="s">
        <v>1126</v>
      </c>
      <c r="AJ60" s="363">
        <f>IF(AI60="","",IF(VLOOKUP(AI60,'G-7 WaterC'' Data'!$AA$4:$AB$7,2,FALSE)=0,"Spatial Data Missing ⚠",VLOOKUP(AI60,'G-7 WaterC'' Data'!$AA$4:$AB$7,2,FALSE)))</f>
        <v>1</v>
      </c>
      <c r="AK60" s="123" t="s">
        <v>1153</v>
      </c>
      <c r="AL60" s="363">
        <f>IF(AK60="","",IF(VLOOKUP(AK60,'G-7 WaterC'' Data'!$AD$4:$AE$14,2,FALSE)=0,"Spatial Data Missing ⚠",VLOOKUP(AK60,'G-7 WaterC'' Data'!$AD$4:$AE$14,2,FALSE)))</f>
        <v>1</v>
      </c>
      <c r="AM60" s="405">
        <f t="shared" si="7"/>
        <v>0.95048701686833237</v>
      </c>
      <c r="AN60" s="117"/>
      <c r="AO60" s="118"/>
      <c r="AP60" s="120" t="s">
        <v>2055</v>
      </c>
      <c r="AV60" s="30" t="str">
        <f>IFERROR(INDEX('G-7 WaterC'' Data'!$AZ$3:$AZ$7,MATCH(N60,'G-7 WaterC'' Data'!$AY$3:$AY$7,0)),"")</f>
        <v>Rivercond1</v>
      </c>
    </row>
    <row r="61" spans="2:48" ht="28.5" x14ac:dyDescent="0.2">
      <c r="B61" s="392">
        <f>'C-1 On-Site WaterC'' Baseline'!AO59</f>
        <v>55</v>
      </c>
      <c r="C61" s="382" t="str">
        <f>IF(B61="","",VLOOKUP($B61,'C-1 On-Site WaterC'' Baseline'!$C$9:$R$257,2,FALSE))</f>
        <v>Ditches</v>
      </c>
      <c r="D61" s="382">
        <f>IF(C61="","",VLOOKUP($B61,'C-1 On-Site WaterC'' Baseline'!$C$9:$R$257,3,FALSE))</f>
        <v>4.2729409056249191E-4</v>
      </c>
      <c r="E61" s="382" t="str">
        <f>IF(D61="","",VLOOKUP($B61,'C-1 On-Site WaterC'' Baseline'!$C$9:$R$257,4,FALSE))</f>
        <v>Medium</v>
      </c>
      <c r="F61" s="382">
        <f>IF(E61="","",VLOOKUP($B61,'C-1 On-Site WaterC'' Baseline'!$C$9:$R$257,5,FALSE))</f>
        <v>4</v>
      </c>
      <c r="G61" s="382" t="str">
        <f>IF(F61="","",VLOOKUP($B61,'C-1 On-Site WaterC'' Baseline'!$C$9:$R$257,6,FALSE))</f>
        <v>Poor</v>
      </c>
      <c r="H61" s="382">
        <f>IF(G61="","",VLOOKUP($B61,'C-1 On-Site WaterC'' Baseline'!$C$9:$R$257,7,FALSE))</f>
        <v>1</v>
      </c>
      <c r="I61" s="382" t="str">
        <f>IF(H61="","",VLOOKUP($B61,'C-1 On-Site WaterC'' Baseline'!$C$9:$R$257,8,FALSE))</f>
        <v>Formally identified in local strategy</v>
      </c>
      <c r="J61" s="382" t="str">
        <f>IF(I61="","",VLOOKUP($B61,'C-1 On-Site WaterC'' Baseline'!$C$9:$R$257,9,FALSE))</f>
        <v xml:space="preserve">High strategic significance </v>
      </c>
      <c r="K61" s="382">
        <f>IF(J61="","",VLOOKUP($B61,'C-1 On-Site WaterC'' Baseline'!$C$9:$R$257,10,FALSE))</f>
        <v>1.1499999999999999</v>
      </c>
      <c r="L61" s="382" t="str">
        <f>IF(B61="","",VLOOKUP($B61,'C-1 On-Site WaterC'' Baseline'!$C$9:$R$257,15,FALSE))</f>
        <v>Same habitat required =</v>
      </c>
      <c r="M61" s="386">
        <f>IF(L61="","",VLOOKUP($B61,'C-1 On-Site WaterC'' Baseline'!$C$9:$R$257,16,FALSE))</f>
        <v>1.474164612440597E-3</v>
      </c>
      <c r="N61" s="320" t="str">
        <f t="shared" si="0"/>
        <v>Ditches</v>
      </c>
      <c r="O61" s="362" t="str">
        <f t="shared" si="2"/>
        <v>Medium - Medium</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Poor - Poor</v>
      </c>
      <c r="Q61" s="425">
        <f>IF(N61="","",VLOOKUP(B61,'C-1 On-Site WaterC'' Baseline'!$C$10:$AB$257,19,FALSE))</f>
        <v>4.2729409056249191E-4</v>
      </c>
      <c r="R61" s="362" t="str">
        <f>IF(N61="","",VLOOKUP(N61,'G-7 WaterC'' Data'!$B$2:$G$8,2,FALSE))</f>
        <v>Medium</v>
      </c>
      <c r="S61" s="363">
        <f>IFERROR(VLOOKUP(R61,'G-7 WaterC'' Data'!$C$4:$D$8,2,FALSE),"")</f>
        <v>4</v>
      </c>
      <c r="T61" s="114" t="s">
        <v>329</v>
      </c>
      <c r="U61" s="363">
        <f>IFERROR(INDEX('G-7 WaterC'' Data'!$H$4:$L$8,MATCH(N61,'G-7 WaterC'' Data'!$B$4:$B$8,0),MATCH(T61,'G-7 WaterC'' Data'!$H$3:$L$3,0)),"")</f>
        <v>1</v>
      </c>
      <c r="V61" s="114" t="s">
        <v>1029</v>
      </c>
      <c r="W61" s="370" t="str">
        <f>IF(V61="","",IF(VLOOKUP(V61,'G-7 WaterC'' Data'!$AK$4:$AM$6,2,FALSE)=0,"Spatial Data Missing ⚠",VLOOKUP(V61,'G-7 WaterC'' Data'!$AK$4:$AM$6,2,FALSE)))</f>
        <v xml:space="preserve">High strategic significance </v>
      </c>
      <c r="X61" s="363">
        <f>IF(V61="","",IF(VLOOKUP(V61,'G-7 WaterC'' Data'!$AK$4:$AM$6,3,FALSE)=0,"Spatial Data Missing ⚠",VLOOKUP(V61,'G-7 WaterC'' Data'!$AK$4:$AM$6,3,FALSE)))</f>
        <v>1.1499999999999999</v>
      </c>
      <c r="Y61" s="362">
        <f>IFERROR(IF(OR(LEFT(P61,5)="Error",LEFT(O61,5)="Error ▲"),"Check Data ⚠",IF(F61&lt;S61,'G-7 WaterC'' Data'!$R$3,INDEX('G-7 WaterC'' Data'!$U$5:$Y$9,MATCH(G61,'G-7 WaterC'' Data'!$T$5:$T$9,0),MATCH(T61,'G-7 WaterC'' Data'!$U$4:$Y$4,0)))),"")</f>
        <v>1</v>
      </c>
      <c r="Z61" s="159">
        <v>0</v>
      </c>
      <c r="AA61" s="159">
        <v>0</v>
      </c>
      <c r="AB61" s="370" t="str">
        <f t="shared" si="3"/>
        <v>Standard time to target condition applied</v>
      </c>
      <c r="AC61" s="383">
        <f t="shared" si="4"/>
        <v>1</v>
      </c>
      <c r="AD61" s="422">
        <f>IFERROR(IF(AC61="Check Data ⚠","Check Data ⚠",VLOOKUP(AC61,'G-4 Temporal multipliers'!$A$4:$C$37,3,FALSE)),"")</f>
        <v>0.96499999999999997</v>
      </c>
      <c r="AE61" s="362" t="str">
        <f>IF(N61="","",VLOOKUP(N61,'G-7 WaterC'' Data'!$B$4:$G$8,5,FALSE))</f>
        <v>Medium</v>
      </c>
      <c r="AF61" s="370" t="str">
        <f t="shared" si="5"/>
        <v>Standard difficulty applied</v>
      </c>
      <c r="AG61" s="401" t="str">
        <f t="shared" si="6"/>
        <v>Medium</v>
      </c>
      <c r="AH61" s="363">
        <f t="shared" si="1"/>
        <v>0.67</v>
      </c>
      <c r="AI61" s="122" t="s">
        <v>1126</v>
      </c>
      <c r="AJ61" s="363">
        <f>IF(AI61="","",IF(VLOOKUP(AI61,'G-7 WaterC'' Data'!$AA$4:$AB$7,2,FALSE)=0,"Spatial Data Missing ⚠",VLOOKUP(AI61,'G-7 WaterC'' Data'!$AA$4:$AB$7,2,FALSE)))</f>
        <v>1</v>
      </c>
      <c r="AK61" s="123" t="s">
        <v>1153</v>
      </c>
      <c r="AL61" s="363">
        <f>IF(AK61="","",IF(VLOOKUP(AK61,'G-7 WaterC'' Data'!$AD$4:$AE$14,2,FALSE)=0,"Spatial Data Missing ⚠",VLOOKUP(AK61,'G-7 WaterC'' Data'!$AD$4:$AE$14,2,FALSE)))</f>
        <v>1</v>
      </c>
      <c r="AM61" s="405">
        <f t="shared" si="7"/>
        <v>1.9655528165874628E-3</v>
      </c>
      <c r="AN61" s="117"/>
      <c r="AO61" s="118"/>
      <c r="AP61" s="120" t="s">
        <v>2056</v>
      </c>
      <c r="AV61" s="30" t="str">
        <f>IFERROR(INDEX('G-7 WaterC'' Data'!$AZ$3:$AZ$7,MATCH(N61,'G-7 WaterC'' Data'!$AY$3:$AY$7,0)),"")</f>
        <v>Rivercond1</v>
      </c>
    </row>
    <row r="62" spans="2:48" ht="28.5" x14ac:dyDescent="0.2">
      <c r="B62" s="392">
        <f>'C-1 On-Site WaterC'' Baseline'!AO60</f>
        <v>56</v>
      </c>
      <c r="C62" s="382" t="str">
        <f>IF(B62="","",VLOOKUP($B62,'C-1 On-Site WaterC'' Baseline'!$C$9:$R$257,2,FALSE))</f>
        <v>Ditches</v>
      </c>
      <c r="D62" s="382">
        <f>IF(C62="","",VLOOKUP($B62,'C-1 On-Site WaterC'' Baseline'!$C$9:$R$257,3,FALSE))</f>
        <v>0.42265771933003105</v>
      </c>
      <c r="E62" s="382" t="str">
        <f>IF(D62="","",VLOOKUP($B62,'C-1 On-Site WaterC'' Baseline'!$C$9:$R$257,4,FALSE))</f>
        <v>Medium</v>
      </c>
      <c r="F62" s="382">
        <f>IF(E62="","",VLOOKUP($B62,'C-1 On-Site WaterC'' Baseline'!$C$9:$R$257,5,FALSE))</f>
        <v>4</v>
      </c>
      <c r="G62" s="382" t="str">
        <f>IF(F62="","",VLOOKUP($B62,'C-1 On-Site WaterC'' Baseline'!$C$9:$R$257,6,FALSE))</f>
        <v>Poor</v>
      </c>
      <c r="H62" s="382">
        <f>IF(G62="","",VLOOKUP($B62,'C-1 On-Site WaterC'' Baseline'!$C$9:$R$257,7,FALSE))</f>
        <v>1</v>
      </c>
      <c r="I62" s="382" t="str">
        <f>IF(H62="","",VLOOKUP($B62,'C-1 On-Site WaterC'' Baseline'!$C$9:$R$257,8,FALSE))</f>
        <v>Area/compensation not in local strategy/ no local strategy</v>
      </c>
      <c r="J62" s="382" t="str">
        <f>IF(I62="","",VLOOKUP($B62,'C-1 On-Site WaterC'' Baseline'!$C$9:$R$257,9,FALSE))</f>
        <v>Low Strategic Significance</v>
      </c>
      <c r="K62" s="382">
        <f>IF(J62="","",VLOOKUP($B62,'C-1 On-Site WaterC'' Baseline'!$C$9:$R$257,10,FALSE))</f>
        <v>1</v>
      </c>
      <c r="L62" s="382" t="str">
        <f>IF(B62="","",VLOOKUP($B62,'C-1 On-Site WaterC'' Baseline'!$C$9:$R$257,15,FALSE))</f>
        <v>Same habitat required =</v>
      </c>
      <c r="M62" s="386">
        <f>IF(L62="","",VLOOKUP($B62,'C-1 On-Site WaterC'' Baseline'!$C$9:$R$257,16,FALSE))</f>
        <v>1.267973157990093</v>
      </c>
      <c r="N62" s="320" t="str">
        <f t="shared" si="0"/>
        <v>Ditches</v>
      </c>
      <c r="O62" s="362" t="str">
        <f t="shared" si="2"/>
        <v>Medium - Medium</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Poor - Poor</v>
      </c>
      <c r="Q62" s="425">
        <f>IF(N62="","",VLOOKUP(B62,'C-1 On-Site WaterC'' Baseline'!$C$10:$AB$257,19,FALSE))</f>
        <v>0.42265771933003105</v>
      </c>
      <c r="R62" s="362" t="str">
        <f>IF(N62="","",VLOOKUP(N62,'G-7 WaterC'' Data'!$B$2:$G$8,2,FALSE))</f>
        <v>Medium</v>
      </c>
      <c r="S62" s="363">
        <f>IFERROR(VLOOKUP(R62,'G-7 WaterC'' Data'!$C$4:$D$8,2,FALSE),"")</f>
        <v>4</v>
      </c>
      <c r="T62" s="114" t="s">
        <v>329</v>
      </c>
      <c r="U62" s="363">
        <f>IFERROR(INDEX('G-7 WaterC'' Data'!$H$4:$L$8,MATCH(N62,'G-7 WaterC'' Data'!$B$4:$B$8,0),MATCH(T62,'G-7 WaterC'' Data'!$H$3:$L$3,0)),"")</f>
        <v>1</v>
      </c>
      <c r="V62" s="114" t="s">
        <v>1037</v>
      </c>
      <c r="W62" s="370" t="str">
        <f>IF(V62="","",IF(VLOOKUP(V62,'G-7 WaterC'' Data'!$AK$4:$AM$6,2,FALSE)=0,"Spatial Data Missing ⚠",VLOOKUP(V62,'G-7 WaterC'' Data'!$AK$4:$AM$6,2,FALSE)))</f>
        <v>Low Strategic Significance</v>
      </c>
      <c r="X62" s="363">
        <f>IF(V62="","",IF(VLOOKUP(V62,'G-7 WaterC'' Data'!$AK$4:$AM$6,3,FALSE)=0,"Spatial Data Missing ⚠",VLOOKUP(V62,'G-7 WaterC'' Data'!$AK$4:$AM$6,3,FALSE)))</f>
        <v>1</v>
      </c>
      <c r="Y62" s="362">
        <f>IFERROR(IF(OR(LEFT(P62,5)="Error",LEFT(O62,5)="Error ▲"),"Check Data ⚠",IF(F62&lt;S62,'G-7 WaterC'' Data'!$R$3,INDEX('G-7 WaterC'' Data'!$U$5:$Y$9,MATCH(G62,'G-7 WaterC'' Data'!$T$5:$T$9,0),MATCH(T62,'G-7 WaterC'' Data'!$U$4:$Y$4,0)))),"")</f>
        <v>1</v>
      </c>
      <c r="Z62" s="159">
        <v>0</v>
      </c>
      <c r="AA62" s="159">
        <v>0</v>
      </c>
      <c r="AB62" s="370" t="str">
        <f t="shared" si="3"/>
        <v>Standard time to target condition applied</v>
      </c>
      <c r="AC62" s="383">
        <f t="shared" si="4"/>
        <v>1</v>
      </c>
      <c r="AD62" s="422">
        <f>IFERROR(IF(AC62="Check Data ⚠","Check Data ⚠",VLOOKUP(AC62,'G-4 Temporal multipliers'!$A$4:$C$37,3,FALSE)),"")</f>
        <v>0.96499999999999997</v>
      </c>
      <c r="AE62" s="362" t="str">
        <f>IF(N62="","",VLOOKUP(N62,'G-7 WaterC'' Data'!$B$4:$G$8,5,FALSE))</f>
        <v>Medium</v>
      </c>
      <c r="AF62" s="370" t="str">
        <f t="shared" si="5"/>
        <v>Standard difficulty applied</v>
      </c>
      <c r="AG62" s="401" t="str">
        <f t="shared" si="6"/>
        <v>Medium</v>
      </c>
      <c r="AH62" s="363">
        <f t="shared" si="1"/>
        <v>0.67</v>
      </c>
      <c r="AI62" s="122" t="s">
        <v>1126</v>
      </c>
      <c r="AJ62" s="363">
        <f>IF(AI62="","",IF(VLOOKUP(AI62,'G-7 WaterC'' Data'!$AA$4:$AB$7,2,FALSE)=0,"Spatial Data Missing ⚠",VLOOKUP(AI62,'G-7 WaterC'' Data'!$AA$4:$AB$7,2,FALSE)))</f>
        <v>1</v>
      </c>
      <c r="AK62" s="123" t="s">
        <v>1153</v>
      </c>
      <c r="AL62" s="363">
        <f>IF(AK62="","",IF(VLOOKUP(AK62,'G-7 WaterC'' Data'!$AD$4:$AE$14,2,FALSE)=0,"Spatial Data Missing ⚠",VLOOKUP(AK62,'G-7 WaterC'' Data'!$AD$4:$AE$14,2,FALSE)))</f>
        <v>1</v>
      </c>
      <c r="AM62" s="405">
        <f t="shared" si="7"/>
        <v>1.6906308773201242</v>
      </c>
      <c r="AN62" s="117"/>
      <c r="AO62" s="118"/>
      <c r="AP62" s="120" t="s">
        <v>2057</v>
      </c>
      <c r="AV62" s="30" t="str">
        <f>IFERROR(INDEX('G-7 WaterC'' Data'!$AZ$3:$AZ$7,MATCH(N62,'G-7 WaterC'' Data'!$AY$3:$AY$7,0)),"")</f>
        <v>Rivercond1</v>
      </c>
    </row>
    <row r="63" spans="2:48" ht="28.5" x14ac:dyDescent="0.2">
      <c r="B63" s="392">
        <f>'C-1 On-Site WaterC'' Baseline'!AO61</f>
        <v>57</v>
      </c>
      <c r="C63" s="382" t="str">
        <f>IF(B63="","",VLOOKUP($B63,'C-1 On-Site WaterC'' Baseline'!$C$9:$R$257,2,FALSE))</f>
        <v>Ditches</v>
      </c>
      <c r="D63" s="382">
        <f>IF(C63="","",VLOOKUP($B63,'C-1 On-Site WaterC'' Baseline'!$C$9:$R$257,3,FALSE))</f>
        <v>0.54154161084243291</v>
      </c>
      <c r="E63" s="382" t="str">
        <f>IF(D63="","",VLOOKUP($B63,'C-1 On-Site WaterC'' Baseline'!$C$9:$R$257,4,FALSE))</f>
        <v>Medium</v>
      </c>
      <c r="F63" s="382">
        <f>IF(E63="","",VLOOKUP($B63,'C-1 On-Site WaterC'' Baseline'!$C$9:$R$257,5,FALSE))</f>
        <v>4</v>
      </c>
      <c r="G63" s="382" t="str">
        <f>IF(F63="","",VLOOKUP($B63,'C-1 On-Site WaterC'' Baseline'!$C$9:$R$257,6,FALSE))</f>
        <v>Poor</v>
      </c>
      <c r="H63" s="382">
        <f>IF(G63="","",VLOOKUP($B63,'C-1 On-Site WaterC'' Baseline'!$C$9:$R$257,7,FALSE))</f>
        <v>1</v>
      </c>
      <c r="I63" s="382" t="str">
        <f>IF(H63="","",VLOOKUP($B63,'C-1 On-Site WaterC'' Baseline'!$C$9:$R$257,8,FALSE))</f>
        <v>Area/compensation not in local strategy/ no local strategy</v>
      </c>
      <c r="J63" s="382" t="str">
        <f>IF(I63="","",VLOOKUP($B63,'C-1 On-Site WaterC'' Baseline'!$C$9:$R$257,9,FALSE))</f>
        <v>Low Strategic Significance</v>
      </c>
      <c r="K63" s="382">
        <f>IF(J63="","",VLOOKUP($B63,'C-1 On-Site WaterC'' Baseline'!$C$9:$R$257,10,FALSE))</f>
        <v>1</v>
      </c>
      <c r="L63" s="382" t="str">
        <f>IF(B63="","",VLOOKUP($B63,'C-1 On-Site WaterC'' Baseline'!$C$9:$R$257,15,FALSE))</f>
        <v>Same habitat required =</v>
      </c>
      <c r="M63" s="386">
        <f>IF(L63="","",VLOOKUP($B63,'C-1 On-Site WaterC'' Baseline'!$C$9:$R$257,16,FALSE))</f>
        <v>1.6246248325272987</v>
      </c>
      <c r="N63" s="320" t="str">
        <f t="shared" si="0"/>
        <v>Ditches</v>
      </c>
      <c r="O63" s="362" t="str">
        <f t="shared" si="2"/>
        <v>Medium - Medium</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Poor - Poor</v>
      </c>
      <c r="Q63" s="425">
        <f>IF(N63="","",VLOOKUP(B63,'C-1 On-Site WaterC'' Baseline'!$C$10:$AB$257,19,FALSE))</f>
        <v>0.54154161084243291</v>
      </c>
      <c r="R63" s="362" t="str">
        <f>IF(N63="","",VLOOKUP(N63,'G-7 WaterC'' Data'!$B$2:$G$8,2,FALSE))</f>
        <v>Medium</v>
      </c>
      <c r="S63" s="363">
        <f>IFERROR(VLOOKUP(R63,'G-7 WaterC'' Data'!$C$4:$D$8,2,FALSE),"")</f>
        <v>4</v>
      </c>
      <c r="T63" s="114" t="s">
        <v>329</v>
      </c>
      <c r="U63" s="363">
        <f>IFERROR(INDEX('G-7 WaterC'' Data'!$H$4:$L$8,MATCH(N63,'G-7 WaterC'' Data'!$B$4:$B$8,0),MATCH(T63,'G-7 WaterC'' Data'!$H$3:$L$3,0)),"")</f>
        <v>1</v>
      </c>
      <c r="V63" s="114" t="s">
        <v>1037</v>
      </c>
      <c r="W63" s="370" t="str">
        <f>IF(V63="","",IF(VLOOKUP(V63,'G-7 WaterC'' Data'!$AK$4:$AM$6,2,FALSE)=0,"Spatial Data Missing ⚠",VLOOKUP(V63,'G-7 WaterC'' Data'!$AK$4:$AM$6,2,FALSE)))</f>
        <v>Low Strategic Significance</v>
      </c>
      <c r="X63" s="363">
        <f>IF(V63="","",IF(VLOOKUP(V63,'G-7 WaterC'' Data'!$AK$4:$AM$6,3,FALSE)=0,"Spatial Data Missing ⚠",VLOOKUP(V63,'G-7 WaterC'' Data'!$AK$4:$AM$6,3,FALSE)))</f>
        <v>1</v>
      </c>
      <c r="Y63" s="362">
        <f>IFERROR(IF(OR(LEFT(P63,5)="Error",LEFT(O63,5)="Error ▲"),"Check Data ⚠",IF(F63&lt;S63,'G-7 WaterC'' Data'!$R$3,INDEX('G-7 WaterC'' Data'!$U$5:$Y$9,MATCH(G63,'G-7 WaterC'' Data'!$T$5:$T$9,0),MATCH(T63,'G-7 WaterC'' Data'!$U$4:$Y$4,0)))),"")</f>
        <v>1</v>
      </c>
      <c r="Z63" s="159">
        <v>0</v>
      </c>
      <c r="AA63" s="159">
        <v>0</v>
      </c>
      <c r="AB63" s="370" t="str">
        <f t="shared" si="3"/>
        <v>Standard time to target condition applied</v>
      </c>
      <c r="AC63" s="383">
        <f t="shared" si="4"/>
        <v>1</v>
      </c>
      <c r="AD63" s="422">
        <f>IFERROR(IF(AC63="Check Data ⚠","Check Data ⚠",VLOOKUP(AC63,'G-4 Temporal multipliers'!$A$4:$C$37,3,FALSE)),"")</f>
        <v>0.96499999999999997</v>
      </c>
      <c r="AE63" s="362" t="str">
        <f>IF(N63="","",VLOOKUP(N63,'G-7 WaterC'' Data'!$B$4:$G$8,5,FALSE))</f>
        <v>Medium</v>
      </c>
      <c r="AF63" s="370" t="str">
        <f t="shared" si="5"/>
        <v>Standard difficulty applied</v>
      </c>
      <c r="AG63" s="401" t="str">
        <f t="shared" si="6"/>
        <v>Medium</v>
      </c>
      <c r="AH63" s="363">
        <f t="shared" si="1"/>
        <v>0.67</v>
      </c>
      <c r="AI63" s="122" t="s">
        <v>1126</v>
      </c>
      <c r="AJ63" s="363">
        <f>IF(AI63="","",IF(VLOOKUP(AI63,'G-7 WaterC'' Data'!$AA$4:$AB$7,2,FALSE)=0,"Spatial Data Missing ⚠",VLOOKUP(AI63,'G-7 WaterC'' Data'!$AA$4:$AB$7,2,FALSE)))</f>
        <v>1</v>
      </c>
      <c r="AK63" s="123" t="s">
        <v>1153</v>
      </c>
      <c r="AL63" s="363">
        <f>IF(AK63="","",IF(VLOOKUP(AK63,'G-7 WaterC'' Data'!$AD$4:$AE$14,2,FALSE)=0,"Spatial Data Missing ⚠",VLOOKUP(AK63,'G-7 WaterC'' Data'!$AD$4:$AE$14,2,FALSE)))</f>
        <v>1</v>
      </c>
      <c r="AM63" s="405">
        <f t="shared" si="7"/>
        <v>2.1661664433697316</v>
      </c>
      <c r="AN63" s="117"/>
      <c r="AO63" s="118"/>
      <c r="AP63" s="120" t="s">
        <v>2058</v>
      </c>
      <c r="AV63" s="30" t="str">
        <f>IFERROR(INDEX('G-7 WaterC'' Data'!$AZ$3:$AZ$7,MATCH(N63,'G-7 WaterC'' Data'!$AY$3:$AY$7,0)),"")</f>
        <v>Rivercond1</v>
      </c>
    </row>
    <row r="64" spans="2:48" ht="28.5" x14ac:dyDescent="0.2">
      <c r="B64" s="392">
        <f>'C-1 On-Site WaterC'' Baseline'!AO62</f>
        <v>58</v>
      </c>
      <c r="C64" s="382" t="str">
        <f>IF(B64="","",VLOOKUP($B64,'C-1 On-Site WaterC'' Baseline'!$C$9:$R$257,2,FALSE))</f>
        <v>Ditches</v>
      </c>
      <c r="D64" s="382">
        <f>IF(C64="","",VLOOKUP($B64,'C-1 On-Site WaterC'' Baseline'!$C$9:$R$257,3,FALSE))</f>
        <v>0.56647481701212199</v>
      </c>
      <c r="E64" s="382" t="str">
        <f>IF(D64="","",VLOOKUP($B64,'C-1 On-Site WaterC'' Baseline'!$C$9:$R$257,4,FALSE))</f>
        <v>Medium</v>
      </c>
      <c r="F64" s="382">
        <f>IF(E64="","",VLOOKUP($B64,'C-1 On-Site WaterC'' Baseline'!$C$9:$R$257,5,FALSE))</f>
        <v>4</v>
      </c>
      <c r="G64" s="382" t="str">
        <f>IF(F64="","",VLOOKUP($B64,'C-1 On-Site WaterC'' Baseline'!$C$9:$R$257,6,FALSE))</f>
        <v>Poor</v>
      </c>
      <c r="H64" s="382">
        <f>IF(G64="","",VLOOKUP($B64,'C-1 On-Site WaterC'' Baseline'!$C$9:$R$257,7,FALSE))</f>
        <v>1</v>
      </c>
      <c r="I64" s="382" t="str">
        <f>IF(H64="","",VLOOKUP($B64,'C-1 On-Site WaterC'' Baseline'!$C$9:$R$257,8,FALSE))</f>
        <v>Area/compensation not in local strategy/ no local strategy</v>
      </c>
      <c r="J64" s="382" t="str">
        <f>IF(I64="","",VLOOKUP($B64,'C-1 On-Site WaterC'' Baseline'!$C$9:$R$257,9,FALSE))</f>
        <v>Low Strategic Significance</v>
      </c>
      <c r="K64" s="382">
        <f>IF(J64="","",VLOOKUP($B64,'C-1 On-Site WaterC'' Baseline'!$C$9:$R$257,10,FALSE))</f>
        <v>1</v>
      </c>
      <c r="L64" s="382" t="str">
        <f>IF(B64="","",VLOOKUP($B64,'C-1 On-Site WaterC'' Baseline'!$C$9:$R$257,15,FALSE))</f>
        <v>Same habitat required =</v>
      </c>
      <c r="M64" s="386">
        <f>IF(L64="","",VLOOKUP($B64,'C-1 On-Site WaterC'' Baseline'!$C$9:$R$257,16,FALSE))</f>
        <v>1.6994244510363661</v>
      </c>
      <c r="N64" s="320" t="str">
        <f t="shared" si="0"/>
        <v>Ditches</v>
      </c>
      <c r="O64" s="362" t="str">
        <f t="shared" si="2"/>
        <v>Medium - Medium</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Poor - Poor</v>
      </c>
      <c r="Q64" s="425">
        <f>IF(N64="","",VLOOKUP(B64,'C-1 On-Site WaterC'' Baseline'!$C$10:$AB$257,19,FALSE))</f>
        <v>0.56647481701212199</v>
      </c>
      <c r="R64" s="362" t="str">
        <f>IF(N64="","",VLOOKUP(N64,'G-7 WaterC'' Data'!$B$2:$G$8,2,FALSE))</f>
        <v>Medium</v>
      </c>
      <c r="S64" s="363">
        <f>IFERROR(VLOOKUP(R64,'G-7 WaterC'' Data'!$C$4:$D$8,2,FALSE),"")</f>
        <v>4</v>
      </c>
      <c r="T64" s="114" t="s">
        <v>329</v>
      </c>
      <c r="U64" s="363">
        <f>IFERROR(INDEX('G-7 WaterC'' Data'!$H$4:$L$8,MATCH(N64,'G-7 WaterC'' Data'!$B$4:$B$8,0),MATCH(T64,'G-7 WaterC'' Data'!$H$3:$L$3,0)),"")</f>
        <v>1</v>
      </c>
      <c r="V64" s="114" t="s">
        <v>1037</v>
      </c>
      <c r="W64" s="370" t="str">
        <f>IF(V64="","",IF(VLOOKUP(V64,'G-7 WaterC'' Data'!$AK$4:$AM$6,2,FALSE)=0,"Spatial Data Missing ⚠",VLOOKUP(V64,'G-7 WaterC'' Data'!$AK$4:$AM$6,2,FALSE)))</f>
        <v>Low Strategic Significance</v>
      </c>
      <c r="X64" s="363">
        <f>IF(V64="","",IF(VLOOKUP(V64,'G-7 WaterC'' Data'!$AK$4:$AM$6,3,FALSE)=0,"Spatial Data Missing ⚠",VLOOKUP(V64,'G-7 WaterC'' Data'!$AK$4:$AM$6,3,FALSE)))</f>
        <v>1</v>
      </c>
      <c r="Y64" s="362">
        <f>IFERROR(IF(OR(LEFT(P64,5)="Error",LEFT(O64,5)="Error ▲"),"Check Data ⚠",IF(F64&lt;S64,'G-7 WaterC'' Data'!$R$3,INDEX('G-7 WaterC'' Data'!$U$5:$Y$9,MATCH(G64,'G-7 WaterC'' Data'!$T$5:$T$9,0),MATCH(T64,'G-7 WaterC'' Data'!$U$4:$Y$4,0)))),"")</f>
        <v>1</v>
      </c>
      <c r="Z64" s="159">
        <v>0</v>
      </c>
      <c r="AA64" s="159">
        <v>0</v>
      </c>
      <c r="AB64" s="370" t="str">
        <f t="shared" si="3"/>
        <v>Standard time to target condition applied</v>
      </c>
      <c r="AC64" s="383">
        <f t="shared" si="4"/>
        <v>1</v>
      </c>
      <c r="AD64" s="422">
        <f>IFERROR(IF(AC64="Check Data ⚠","Check Data ⚠",VLOOKUP(AC64,'G-4 Temporal multipliers'!$A$4:$C$37,3,FALSE)),"")</f>
        <v>0.96499999999999997</v>
      </c>
      <c r="AE64" s="362" t="str">
        <f>IF(N64="","",VLOOKUP(N64,'G-7 WaterC'' Data'!$B$4:$G$8,5,FALSE))</f>
        <v>Medium</v>
      </c>
      <c r="AF64" s="370" t="str">
        <f t="shared" si="5"/>
        <v>Standard difficulty applied</v>
      </c>
      <c r="AG64" s="401" t="str">
        <f t="shared" si="6"/>
        <v>Medium</v>
      </c>
      <c r="AH64" s="363">
        <f t="shared" si="1"/>
        <v>0.67</v>
      </c>
      <c r="AI64" s="122" t="s">
        <v>1126</v>
      </c>
      <c r="AJ64" s="363">
        <f>IF(AI64="","",IF(VLOOKUP(AI64,'G-7 WaterC'' Data'!$AA$4:$AB$7,2,FALSE)=0,"Spatial Data Missing ⚠",VLOOKUP(AI64,'G-7 WaterC'' Data'!$AA$4:$AB$7,2,FALSE)))</f>
        <v>1</v>
      </c>
      <c r="AK64" s="123" t="s">
        <v>1153</v>
      </c>
      <c r="AL64" s="363">
        <f>IF(AK64="","",IF(VLOOKUP(AK64,'G-7 WaterC'' Data'!$AD$4:$AE$14,2,FALSE)=0,"Spatial Data Missing ⚠",VLOOKUP(AK64,'G-7 WaterC'' Data'!$AD$4:$AE$14,2,FALSE)))</f>
        <v>1</v>
      </c>
      <c r="AM64" s="405">
        <f t="shared" si="7"/>
        <v>2.265899268048488</v>
      </c>
      <c r="AN64" s="117"/>
      <c r="AO64" s="118"/>
      <c r="AP64" s="120" t="s">
        <v>2059</v>
      </c>
      <c r="AV64" s="30" t="str">
        <f>IFERROR(INDEX('G-7 WaterC'' Data'!$AZ$3:$AZ$7,MATCH(N64,'G-7 WaterC'' Data'!$AY$3:$AY$7,0)),"")</f>
        <v>Rivercond1</v>
      </c>
    </row>
    <row r="65" spans="2:48" ht="28.5" x14ac:dyDescent="0.2">
      <c r="B65" s="392">
        <f>'C-1 On-Site WaterC'' Baseline'!AO63</f>
        <v>59</v>
      </c>
      <c r="C65" s="382" t="str">
        <f>IF(B65="","",VLOOKUP($B65,'C-1 On-Site WaterC'' Baseline'!$C$9:$R$257,2,FALSE))</f>
        <v>Ditches</v>
      </c>
      <c r="D65" s="382">
        <f>IF(C65="","",VLOOKUP($B65,'C-1 On-Site WaterC'' Baseline'!$C$9:$R$257,3,FALSE))</f>
        <v>6.6165550230782369E-2</v>
      </c>
      <c r="E65" s="382" t="str">
        <f>IF(D65="","",VLOOKUP($B65,'C-1 On-Site WaterC'' Baseline'!$C$9:$R$257,4,FALSE))</f>
        <v>Medium</v>
      </c>
      <c r="F65" s="382">
        <f>IF(E65="","",VLOOKUP($B65,'C-1 On-Site WaterC'' Baseline'!$C$9:$R$257,5,FALSE))</f>
        <v>4</v>
      </c>
      <c r="G65" s="382" t="str">
        <f>IF(F65="","",VLOOKUP($B65,'C-1 On-Site WaterC'' Baseline'!$C$9:$R$257,6,FALSE))</f>
        <v>Poor</v>
      </c>
      <c r="H65" s="382">
        <f>IF(G65="","",VLOOKUP($B65,'C-1 On-Site WaterC'' Baseline'!$C$9:$R$257,7,FALSE))</f>
        <v>1</v>
      </c>
      <c r="I65" s="382" t="str">
        <f>IF(H65="","",VLOOKUP($B65,'C-1 On-Site WaterC'' Baseline'!$C$9:$R$257,8,FALSE))</f>
        <v>Formally identified in local strategy</v>
      </c>
      <c r="J65" s="382" t="str">
        <f>IF(I65="","",VLOOKUP($B65,'C-1 On-Site WaterC'' Baseline'!$C$9:$R$257,9,FALSE))</f>
        <v xml:space="preserve">High strategic significance </v>
      </c>
      <c r="K65" s="382">
        <f>IF(J65="","",VLOOKUP($B65,'C-1 On-Site WaterC'' Baseline'!$C$9:$R$257,10,FALSE))</f>
        <v>1.1499999999999999</v>
      </c>
      <c r="L65" s="382" t="str">
        <f>IF(B65="","",VLOOKUP($B65,'C-1 On-Site WaterC'' Baseline'!$C$9:$R$257,15,FALSE))</f>
        <v>Same habitat required =</v>
      </c>
      <c r="M65" s="386">
        <f>IF(L65="","",VLOOKUP($B65,'C-1 On-Site WaterC'' Baseline'!$C$9:$R$257,16,FALSE))</f>
        <v>0.22827114829619916</v>
      </c>
      <c r="N65" s="320" t="str">
        <f t="shared" si="0"/>
        <v>Ditches</v>
      </c>
      <c r="O65" s="362" t="str">
        <f t="shared" si="2"/>
        <v>Medium - Medium</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Poor - Poor</v>
      </c>
      <c r="Q65" s="425">
        <f>IF(N65="","",VLOOKUP(B65,'C-1 On-Site WaterC'' Baseline'!$C$10:$AB$257,19,FALSE))</f>
        <v>6.6165550230782369E-2</v>
      </c>
      <c r="R65" s="362" t="str">
        <f>IF(N65="","",VLOOKUP(N65,'G-7 WaterC'' Data'!$B$2:$G$8,2,FALSE))</f>
        <v>Medium</v>
      </c>
      <c r="S65" s="363">
        <f>IFERROR(VLOOKUP(R65,'G-7 WaterC'' Data'!$C$4:$D$8,2,FALSE),"")</f>
        <v>4</v>
      </c>
      <c r="T65" s="114" t="s">
        <v>329</v>
      </c>
      <c r="U65" s="363">
        <f>IFERROR(INDEX('G-7 WaterC'' Data'!$H$4:$L$8,MATCH(N65,'G-7 WaterC'' Data'!$B$4:$B$8,0),MATCH(T65,'G-7 WaterC'' Data'!$H$3:$L$3,0)),"")</f>
        <v>1</v>
      </c>
      <c r="V65" s="114" t="s">
        <v>1029</v>
      </c>
      <c r="W65" s="370" t="str">
        <f>IF(V65="","",IF(VLOOKUP(V65,'G-7 WaterC'' Data'!$AK$4:$AM$6,2,FALSE)=0,"Spatial Data Missing ⚠",VLOOKUP(V65,'G-7 WaterC'' Data'!$AK$4:$AM$6,2,FALSE)))</f>
        <v xml:space="preserve">High strategic significance </v>
      </c>
      <c r="X65" s="363">
        <f>IF(V65="","",IF(VLOOKUP(V65,'G-7 WaterC'' Data'!$AK$4:$AM$6,3,FALSE)=0,"Spatial Data Missing ⚠",VLOOKUP(V65,'G-7 WaterC'' Data'!$AK$4:$AM$6,3,FALSE)))</f>
        <v>1.1499999999999999</v>
      </c>
      <c r="Y65" s="362">
        <f>IFERROR(IF(OR(LEFT(P65,5)="Error",LEFT(O65,5)="Error ▲"),"Check Data ⚠",IF(F65&lt;S65,'G-7 WaterC'' Data'!$R$3,INDEX('G-7 WaterC'' Data'!$U$5:$Y$9,MATCH(G65,'G-7 WaterC'' Data'!$T$5:$T$9,0),MATCH(T65,'G-7 WaterC'' Data'!$U$4:$Y$4,0)))),"")</f>
        <v>1</v>
      </c>
      <c r="Z65" s="159">
        <v>0</v>
      </c>
      <c r="AA65" s="159">
        <v>0</v>
      </c>
      <c r="AB65" s="370" t="str">
        <f t="shared" si="3"/>
        <v>Standard time to target condition applied</v>
      </c>
      <c r="AC65" s="383">
        <f t="shared" si="4"/>
        <v>1</v>
      </c>
      <c r="AD65" s="422">
        <f>IFERROR(IF(AC65="Check Data ⚠","Check Data ⚠",VLOOKUP(AC65,'G-4 Temporal multipliers'!$A$4:$C$37,3,FALSE)),"")</f>
        <v>0.96499999999999997</v>
      </c>
      <c r="AE65" s="362" t="str">
        <f>IF(N65="","",VLOOKUP(N65,'G-7 WaterC'' Data'!$B$4:$G$8,5,FALSE))</f>
        <v>Medium</v>
      </c>
      <c r="AF65" s="370" t="str">
        <f t="shared" si="5"/>
        <v>Standard difficulty applied</v>
      </c>
      <c r="AG65" s="401" t="str">
        <f t="shared" si="6"/>
        <v>Medium</v>
      </c>
      <c r="AH65" s="363">
        <f t="shared" si="1"/>
        <v>0.67</v>
      </c>
      <c r="AI65" s="122" t="s">
        <v>1126</v>
      </c>
      <c r="AJ65" s="363">
        <f>IF(AI65="","",IF(VLOOKUP(AI65,'G-7 WaterC'' Data'!$AA$4:$AB$7,2,FALSE)=0,"Spatial Data Missing ⚠",VLOOKUP(AI65,'G-7 WaterC'' Data'!$AA$4:$AB$7,2,FALSE)))</f>
        <v>1</v>
      </c>
      <c r="AK65" s="123" t="s">
        <v>1153</v>
      </c>
      <c r="AL65" s="363">
        <f>IF(AK65="","",IF(VLOOKUP(AK65,'G-7 WaterC'' Data'!$AD$4:$AE$14,2,FALSE)=0,"Spatial Data Missing ⚠",VLOOKUP(AK65,'G-7 WaterC'' Data'!$AD$4:$AE$14,2,FALSE)))</f>
        <v>1</v>
      </c>
      <c r="AM65" s="405">
        <f t="shared" si="7"/>
        <v>0.30436153106159886</v>
      </c>
      <c r="AN65" s="117"/>
      <c r="AO65" s="118"/>
      <c r="AP65" s="120" t="s">
        <v>2060</v>
      </c>
      <c r="AV65" s="30" t="str">
        <f>IFERROR(INDEX('G-7 WaterC'' Data'!$AZ$3:$AZ$7,MATCH(N65,'G-7 WaterC'' Data'!$AY$3:$AY$7,0)),"")</f>
        <v>Rivercond1</v>
      </c>
    </row>
    <row r="66" spans="2:48" ht="28.5" x14ac:dyDescent="0.2">
      <c r="B66" s="392">
        <f>'C-1 On-Site WaterC'' Baseline'!AO64</f>
        <v>60</v>
      </c>
      <c r="C66" s="382" t="str">
        <f>IF(B66="","",VLOOKUP($B66,'C-1 On-Site WaterC'' Baseline'!$C$9:$R$257,2,FALSE))</f>
        <v>Ditches</v>
      </c>
      <c r="D66" s="382">
        <f>IF(C66="","",VLOOKUP($B66,'C-1 On-Site WaterC'' Baseline'!$C$9:$R$257,3,FALSE))</f>
        <v>4.9393093910903114E-3</v>
      </c>
      <c r="E66" s="382" t="str">
        <f>IF(D66="","",VLOOKUP($B66,'C-1 On-Site WaterC'' Baseline'!$C$9:$R$257,4,FALSE))</f>
        <v>Medium</v>
      </c>
      <c r="F66" s="382">
        <f>IF(E66="","",VLOOKUP($B66,'C-1 On-Site WaterC'' Baseline'!$C$9:$R$257,5,FALSE))</f>
        <v>4</v>
      </c>
      <c r="G66" s="382" t="str">
        <f>IF(F66="","",VLOOKUP($B66,'C-1 On-Site WaterC'' Baseline'!$C$9:$R$257,6,FALSE))</f>
        <v>Poor</v>
      </c>
      <c r="H66" s="382">
        <f>IF(G66="","",VLOOKUP($B66,'C-1 On-Site WaterC'' Baseline'!$C$9:$R$257,7,FALSE))</f>
        <v>1</v>
      </c>
      <c r="I66" s="382" t="str">
        <f>IF(H66="","",VLOOKUP($B66,'C-1 On-Site WaterC'' Baseline'!$C$9:$R$257,8,FALSE))</f>
        <v>Formally identified in local strategy</v>
      </c>
      <c r="J66" s="382" t="str">
        <f>IF(I66="","",VLOOKUP($B66,'C-1 On-Site WaterC'' Baseline'!$C$9:$R$257,9,FALSE))</f>
        <v xml:space="preserve">High strategic significance </v>
      </c>
      <c r="K66" s="382">
        <f>IF(J66="","",VLOOKUP($B66,'C-1 On-Site WaterC'' Baseline'!$C$9:$R$257,10,FALSE))</f>
        <v>1.1499999999999999</v>
      </c>
      <c r="L66" s="382" t="str">
        <f>IF(B66="","",VLOOKUP($B66,'C-1 On-Site WaterC'' Baseline'!$C$9:$R$257,15,FALSE))</f>
        <v>Same habitat required =</v>
      </c>
      <c r="M66" s="386">
        <f>IF(L66="","",VLOOKUP($B66,'C-1 On-Site WaterC'' Baseline'!$C$9:$R$257,16,FALSE))</f>
        <v>1.7040617399261573E-2</v>
      </c>
      <c r="N66" s="320" t="str">
        <f t="shared" si="0"/>
        <v>Ditches</v>
      </c>
      <c r="O66" s="362" t="str">
        <f t="shared" si="2"/>
        <v>Medium - Medium</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Poor - Poor</v>
      </c>
      <c r="Q66" s="425">
        <f>IF(N66="","",VLOOKUP(B66,'C-1 On-Site WaterC'' Baseline'!$C$10:$AB$257,19,FALSE))</f>
        <v>4.9393093910903114E-3</v>
      </c>
      <c r="R66" s="362" t="str">
        <f>IF(N66="","",VLOOKUP(N66,'G-7 WaterC'' Data'!$B$2:$G$8,2,FALSE))</f>
        <v>Medium</v>
      </c>
      <c r="S66" s="363">
        <f>IFERROR(VLOOKUP(R66,'G-7 WaterC'' Data'!$C$4:$D$8,2,FALSE),"")</f>
        <v>4</v>
      </c>
      <c r="T66" s="114" t="s">
        <v>329</v>
      </c>
      <c r="U66" s="363">
        <f>IFERROR(INDEX('G-7 WaterC'' Data'!$H$4:$L$8,MATCH(N66,'G-7 WaterC'' Data'!$B$4:$B$8,0),MATCH(T66,'G-7 WaterC'' Data'!$H$3:$L$3,0)),"")</f>
        <v>1</v>
      </c>
      <c r="V66" s="114" t="s">
        <v>1029</v>
      </c>
      <c r="W66" s="370" t="str">
        <f>IF(V66="","",IF(VLOOKUP(V66,'G-7 WaterC'' Data'!$AK$4:$AM$6,2,FALSE)=0,"Spatial Data Missing ⚠",VLOOKUP(V66,'G-7 WaterC'' Data'!$AK$4:$AM$6,2,FALSE)))</f>
        <v xml:space="preserve">High strategic significance </v>
      </c>
      <c r="X66" s="363">
        <f>IF(V66="","",IF(VLOOKUP(V66,'G-7 WaterC'' Data'!$AK$4:$AM$6,3,FALSE)=0,"Spatial Data Missing ⚠",VLOOKUP(V66,'G-7 WaterC'' Data'!$AK$4:$AM$6,3,FALSE)))</f>
        <v>1.1499999999999999</v>
      </c>
      <c r="Y66" s="362">
        <f>IFERROR(IF(OR(LEFT(P66,5)="Error",LEFT(O66,5)="Error ▲"),"Check Data ⚠",IF(F66&lt;S66,'G-7 WaterC'' Data'!$R$3,INDEX('G-7 WaterC'' Data'!$U$5:$Y$9,MATCH(G66,'G-7 WaterC'' Data'!$T$5:$T$9,0),MATCH(T66,'G-7 WaterC'' Data'!$U$4:$Y$4,0)))),"")</f>
        <v>1</v>
      </c>
      <c r="Z66" s="159">
        <v>0</v>
      </c>
      <c r="AA66" s="159">
        <v>0</v>
      </c>
      <c r="AB66" s="370" t="str">
        <f t="shared" si="3"/>
        <v>Standard time to target condition applied</v>
      </c>
      <c r="AC66" s="383">
        <f t="shared" si="4"/>
        <v>1</v>
      </c>
      <c r="AD66" s="422">
        <f>IFERROR(IF(AC66="Check Data ⚠","Check Data ⚠",VLOOKUP(AC66,'G-4 Temporal multipliers'!$A$4:$C$37,3,FALSE)),"")</f>
        <v>0.96499999999999997</v>
      </c>
      <c r="AE66" s="362" t="str">
        <f>IF(N66="","",VLOOKUP(N66,'G-7 WaterC'' Data'!$B$4:$G$8,5,FALSE))</f>
        <v>Medium</v>
      </c>
      <c r="AF66" s="370" t="str">
        <f t="shared" si="5"/>
        <v>Standard difficulty applied</v>
      </c>
      <c r="AG66" s="401" t="str">
        <f t="shared" si="6"/>
        <v>Medium</v>
      </c>
      <c r="AH66" s="363">
        <f t="shared" si="1"/>
        <v>0.67</v>
      </c>
      <c r="AI66" s="122" t="s">
        <v>1126</v>
      </c>
      <c r="AJ66" s="363">
        <f>IF(AI66="","",IF(VLOOKUP(AI66,'G-7 WaterC'' Data'!$AA$4:$AB$7,2,FALSE)=0,"Spatial Data Missing ⚠",VLOOKUP(AI66,'G-7 WaterC'' Data'!$AA$4:$AB$7,2,FALSE)))</f>
        <v>1</v>
      </c>
      <c r="AK66" s="123" t="s">
        <v>1153</v>
      </c>
      <c r="AL66" s="363">
        <f>IF(AK66="","",IF(VLOOKUP(AK66,'G-7 WaterC'' Data'!$AD$4:$AE$14,2,FALSE)=0,"Spatial Data Missing ⚠",VLOOKUP(AK66,'G-7 WaterC'' Data'!$AD$4:$AE$14,2,FALSE)))</f>
        <v>1</v>
      </c>
      <c r="AM66" s="405">
        <f t="shared" si="7"/>
        <v>2.272082319901543E-2</v>
      </c>
      <c r="AN66" s="117"/>
      <c r="AO66" s="118"/>
      <c r="AP66" s="120" t="s">
        <v>2061</v>
      </c>
      <c r="AV66" s="30" t="str">
        <f>IFERROR(INDEX('G-7 WaterC'' Data'!$AZ$3:$AZ$7,MATCH(N66,'G-7 WaterC'' Data'!$AY$3:$AY$7,0)),"")</f>
        <v>Rivercond1</v>
      </c>
    </row>
    <row r="67" spans="2:48" ht="28.5" x14ac:dyDescent="0.2">
      <c r="B67" s="392">
        <f>'C-1 On-Site WaterC'' Baseline'!AO65</f>
        <v>61</v>
      </c>
      <c r="C67" s="382" t="str">
        <f>IF(B67="","",VLOOKUP($B67,'C-1 On-Site WaterC'' Baseline'!$C$9:$R$257,2,FALSE))</f>
        <v>Ditches</v>
      </c>
      <c r="D67" s="382">
        <f>IF(C67="","",VLOOKUP($B67,'C-1 On-Site WaterC'' Baseline'!$C$9:$R$257,3,FALSE))</f>
        <v>9.1066879469407197E-2</v>
      </c>
      <c r="E67" s="382" t="str">
        <f>IF(D67="","",VLOOKUP($B67,'C-1 On-Site WaterC'' Baseline'!$C$9:$R$257,4,FALSE))</f>
        <v>Medium</v>
      </c>
      <c r="F67" s="382">
        <f>IF(E67="","",VLOOKUP($B67,'C-1 On-Site WaterC'' Baseline'!$C$9:$R$257,5,FALSE))</f>
        <v>4</v>
      </c>
      <c r="G67" s="382" t="str">
        <f>IF(F67="","",VLOOKUP($B67,'C-1 On-Site WaterC'' Baseline'!$C$9:$R$257,6,FALSE))</f>
        <v>Poor</v>
      </c>
      <c r="H67" s="382">
        <f>IF(G67="","",VLOOKUP($B67,'C-1 On-Site WaterC'' Baseline'!$C$9:$R$257,7,FALSE))</f>
        <v>1</v>
      </c>
      <c r="I67" s="382" t="str">
        <f>IF(H67="","",VLOOKUP($B67,'C-1 On-Site WaterC'' Baseline'!$C$9:$R$257,8,FALSE))</f>
        <v>Area/compensation not in local strategy/ no local strategy</v>
      </c>
      <c r="J67" s="382" t="str">
        <f>IF(I67="","",VLOOKUP($B67,'C-1 On-Site WaterC'' Baseline'!$C$9:$R$257,9,FALSE))</f>
        <v>Low Strategic Significance</v>
      </c>
      <c r="K67" s="382">
        <f>IF(J67="","",VLOOKUP($B67,'C-1 On-Site WaterC'' Baseline'!$C$9:$R$257,10,FALSE))</f>
        <v>1</v>
      </c>
      <c r="L67" s="382" t="str">
        <f>IF(B67="","",VLOOKUP($B67,'C-1 On-Site WaterC'' Baseline'!$C$9:$R$257,15,FALSE))</f>
        <v>Same habitat required =</v>
      </c>
      <c r="M67" s="386">
        <f>IF(L67="","",VLOOKUP($B67,'C-1 On-Site WaterC'' Baseline'!$C$9:$R$257,16,FALSE))</f>
        <v>0.27320063840822162</v>
      </c>
      <c r="N67" s="320" t="str">
        <f t="shared" si="0"/>
        <v>Ditches</v>
      </c>
      <c r="O67" s="362" t="str">
        <f t="shared" si="2"/>
        <v>Medium - Medium</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Poor - Poor</v>
      </c>
      <c r="Q67" s="425">
        <f>IF(N67="","",VLOOKUP(B67,'C-1 On-Site WaterC'' Baseline'!$C$10:$AB$257,19,FALSE))</f>
        <v>9.1066879469407197E-2</v>
      </c>
      <c r="R67" s="362" t="str">
        <f>IF(N67="","",VLOOKUP(N67,'G-7 WaterC'' Data'!$B$2:$G$8,2,FALSE))</f>
        <v>Medium</v>
      </c>
      <c r="S67" s="363">
        <f>IFERROR(VLOOKUP(R67,'G-7 WaterC'' Data'!$C$4:$D$8,2,FALSE),"")</f>
        <v>4</v>
      </c>
      <c r="T67" s="114" t="s">
        <v>329</v>
      </c>
      <c r="U67" s="363">
        <f>IFERROR(INDEX('G-7 WaterC'' Data'!$H$4:$L$8,MATCH(N67,'G-7 WaterC'' Data'!$B$4:$B$8,0),MATCH(T67,'G-7 WaterC'' Data'!$H$3:$L$3,0)),"")</f>
        <v>1</v>
      </c>
      <c r="V67" s="114" t="s">
        <v>1037</v>
      </c>
      <c r="W67" s="370" t="str">
        <f>IF(V67="","",IF(VLOOKUP(V67,'G-7 WaterC'' Data'!$AK$4:$AM$6,2,FALSE)=0,"Spatial Data Missing ⚠",VLOOKUP(V67,'G-7 WaterC'' Data'!$AK$4:$AM$6,2,FALSE)))</f>
        <v>Low Strategic Significance</v>
      </c>
      <c r="X67" s="363">
        <f>IF(V67="","",IF(VLOOKUP(V67,'G-7 WaterC'' Data'!$AK$4:$AM$6,3,FALSE)=0,"Spatial Data Missing ⚠",VLOOKUP(V67,'G-7 WaterC'' Data'!$AK$4:$AM$6,3,FALSE)))</f>
        <v>1</v>
      </c>
      <c r="Y67" s="362">
        <f>IFERROR(IF(OR(LEFT(P67,5)="Error",LEFT(O67,5)="Error ▲"),"Check Data ⚠",IF(F67&lt;S67,'G-7 WaterC'' Data'!$R$3,INDEX('G-7 WaterC'' Data'!$U$5:$Y$9,MATCH(G67,'G-7 WaterC'' Data'!$T$5:$T$9,0),MATCH(T67,'G-7 WaterC'' Data'!$U$4:$Y$4,0)))),"")</f>
        <v>1</v>
      </c>
      <c r="Z67" s="159">
        <v>0</v>
      </c>
      <c r="AA67" s="159">
        <v>0</v>
      </c>
      <c r="AB67" s="370" t="str">
        <f t="shared" si="3"/>
        <v>Standard time to target condition applied</v>
      </c>
      <c r="AC67" s="383">
        <f t="shared" si="4"/>
        <v>1</v>
      </c>
      <c r="AD67" s="422">
        <f>IFERROR(IF(AC67="Check Data ⚠","Check Data ⚠",VLOOKUP(AC67,'G-4 Temporal multipliers'!$A$4:$C$37,3,FALSE)),"")</f>
        <v>0.96499999999999997</v>
      </c>
      <c r="AE67" s="362" t="str">
        <f>IF(N67="","",VLOOKUP(N67,'G-7 WaterC'' Data'!$B$4:$G$8,5,FALSE))</f>
        <v>Medium</v>
      </c>
      <c r="AF67" s="370" t="str">
        <f t="shared" si="5"/>
        <v>Standard difficulty applied</v>
      </c>
      <c r="AG67" s="401" t="str">
        <f t="shared" si="6"/>
        <v>Medium</v>
      </c>
      <c r="AH67" s="363">
        <f t="shared" si="1"/>
        <v>0.67</v>
      </c>
      <c r="AI67" s="122" t="s">
        <v>1126</v>
      </c>
      <c r="AJ67" s="363">
        <f>IF(AI67="","",IF(VLOOKUP(AI67,'G-7 WaterC'' Data'!$AA$4:$AB$7,2,FALSE)=0,"Spatial Data Missing ⚠",VLOOKUP(AI67,'G-7 WaterC'' Data'!$AA$4:$AB$7,2,FALSE)))</f>
        <v>1</v>
      </c>
      <c r="AK67" s="123" t="s">
        <v>1153</v>
      </c>
      <c r="AL67" s="363">
        <f>IF(AK67="","",IF(VLOOKUP(AK67,'G-7 WaterC'' Data'!$AD$4:$AE$14,2,FALSE)=0,"Spatial Data Missing ⚠",VLOOKUP(AK67,'G-7 WaterC'' Data'!$AD$4:$AE$14,2,FALSE)))</f>
        <v>1</v>
      </c>
      <c r="AM67" s="405">
        <f t="shared" si="7"/>
        <v>0.36426751787762879</v>
      </c>
      <c r="AN67" s="117"/>
      <c r="AO67" s="118"/>
      <c r="AP67" s="120" t="s">
        <v>2062</v>
      </c>
      <c r="AV67" s="30" t="str">
        <f>IFERROR(INDEX('G-7 WaterC'' Data'!$AZ$3:$AZ$7,MATCH(N67,'G-7 WaterC'' Data'!$AY$3:$AY$7,0)),"")</f>
        <v>Rivercond1</v>
      </c>
    </row>
    <row r="68" spans="2:48" ht="28.5" x14ac:dyDescent="0.2">
      <c r="B68" s="392">
        <f>'C-1 On-Site WaterC'' Baseline'!AO66</f>
        <v>62</v>
      </c>
      <c r="C68" s="382" t="str">
        <f>IF(B68="","",VLOOKUP($B68,'C-1 On-Site WaterC'' Baseline'!$C$9:$R$257,2,FALSE))</f>
        <v>Ditches</v>
      </c>
      <c r="D68" s="382">
        <f>IF(C68="","",VLOOKUP($B68,'C-1 On-Site WaterC'' Baseline'!$C$9:$R$257,3,FALSE))</f>
        <v>0.23584630444324492</v>
      </c>
      <c r="E68" s="382" t="str">
        <f>IF(D68="","",VLOOKUP($B68,'C-1 On-Site WaterC'' Baseline'!$C$9:$R$257,4,FALSE))</f>
        <v>Medium</v>
      </c>
      <c r="F68" s="382">
        <f>IF(E68="","",VLOOKUP($B68,'C-1 On-Site WaterC'' Baseline'!$C$9:$R$257,5,FALSE))</f>
        <v>4</v>
      </c>
      <c r="G68" s="382" t="str">
        <f>IF(F68="","",VLOOKUP($B68,'C-1 On-Site WaterC'' Baseline'!$C$9:$R$257,6,FALSE))</f>
        <v>Poor</v>
      </c>
      <c r="H68" s="382">
        <f>IF(G68="","",VLOOKUP($B68,'C-1 On-Site WaterC'' Baseline'!$C$9:$R$257,7,FALSE))</f>
        <v>1</v>
      </c>
      <c r="I68" s="382" t="str">
        <f>IF(H68="","",VLOOKUP($B68,'C-1 On-Site WaterC'' Baseline'!$C$9:$R$257,8,FALSE))</f>
        <v>Formally identified in local strategy</v>
      </c>
      <c r="J68" s="382" t="str">
        <f>IF(I68="","",VLOOKUP($B68,'C-1 On-Site WaterC'' Baseline'!$C$9:$R$257,9,FALSE))</f>
        <v xml:space="preserve">High strategic significance </v>
      </c>
      <c r="K68" s="382">
        <f>IF(J68="","",VLOOKUP($B68,'C-1 On-Site WaterC'' Baseline'!$C$9:$R$257,10,FALSE))</f>
        <v>1.1499999999999999</v>
      </c>
      <c r="L68" s="382" t="str">
        <f>IF(B68="","",VLOOKUP($B68,'C-1 On-Site WaterC'' Baseline'!$C$9:$R$257,15,FALSE))</f>
        <v>Same habitat required =</v>
      </c>
      <c r="M68" s="386">
        <f>IF(L68="","",VLOOKUP($B68,'C-1 On-Site WaterC'' Baseline'!$C$9:$R$257,16,FALSE))</f>
        <v>0.81366975032919497</v>
      </c>
      <c r="N68" s="320" t="str">
        <f t="shared" si="0"/>
        <v>Ditches</v>
      </c>
      <c r="O68" s="362" t="str">
        <f t="shared" si="2"/>
        <v>Medium - Medium</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Poor - Poor</v>
      </c>
      <c r="Q68" s="425">
        <f>IF(N68="","",VLOOKUP(B68,'C-1 On-Site WaterC'' Baseline'!$C$10:$AB$257,19,FALSE))</f>
        <v>0.23584630444324492</v>
      </c>
      <c r="R68" s="362" t="str">
        <f>IF(N68="","",VLOOKUP(N68,'G-7 WaterC'' Data'!$B$2:$G$8,2,FALSE))</f>
        <v>Medium</v>
      </c>
      <c r="S68" s="363">
        <f>IFERROR(VLOOKUP(R68,'G-7 WaterC'' Data'!$C$4:$D$8,2,FALSE),"")</f>
        <v>4</v>
      </c>
      <c r="T68" s="114" t="s">
        <v>329</v>
      </c>
      <c r="U68" s="363">
        <f>IFERROR(INDEX('G-7 WaterC'' Data'!$H$4:$L$8,MATCH(N68,'G-7 WaterC'' Data'!$B$4:$B$8,0),MATCH(T68,'G-7 WaterC'' Data'!$H$3:$L$3,0)),"")</f>
        <v>1</v>
      </c>
      <c r="V68" s="114" t="s">
        <v>1029</v>
      </c>
      <c r="W68" s="370" t="str">
        <f>IF(V68="","",IF(VLOOKUP(V68,'G-7 WaterC'' Data'!$AK$4:$AM$6,2,FALSE)=0,"Spatial Data Missing ⚠",VLOOKUP(V68,'G-7 WaterC'' Data'!$AK$4:$AM$6,2,FALSE)))</f>
        <v xml:space="preserve">High strategic significance </v>
      </c>
      <c r="X68" s="363">
        <f>IF(V68="","",IF(VLOOKUP(V68,'G-7 WaterC'' Data'!$AK$4:$AM$6,3,FALSE)=0,"Spatial Data Missing ⚠",VLOOKUP(V68,'G-7 WaterC'' Data'!$AK$4:$AM$6,3,FALSE)))</f>
        <v>1.1499999999999999</v>
      </c>
      <c r="Y68" s="362">
        <f>IFERROR(IF(OR(LEFT(P68,5)="Error",LEFT(O68,5)="Error ▲"),"Check Data ⚠",IF(F68&lt;S68,'G-7 WaterC'' Data'!$R$3,INDEX('G-7 WaterC'' Data'!$U$5:$Y$9,MATCH(G68,'G-7 WaterC'' Data'!$T$5:$T$9,0),MATCH(T68,'G-7 WaterC'' Data'!$U$4:$Y$4,0)))),"")</f>
        <v>1</v>
      </c>
      <c r="Z68" s="159">
        <v>0</v>
      </c>
      <c r="AA68" s="159">
        <v>0</v>
      </c>
      <c r="AB68" s="370" t="str">
        <f t="shared" si="3"/>
        <v>Standard time to target condition applied</v>
      </c>
      <c r="AC68" s="383">
        <f t="shared" si="4"/>
        <v>1</v>
      </c>
      <c r="AD68" s="422">
        <f>IFERROR(IF(AC68="Check Data ⚠","Check Data ⚠",VLOOKUP(AC68,'G-4 Temporal multipliers'!$A$4:$C$37,3,FALSE)),"")</f>
        <v>0.96499999999999997</v>
      </c>
      <c r="AE68" s="362" t="str">
        <f>IF(N68="","",VLOOKUP(N68,'G-7 WaterC'' Data'!$B$4:$G$8,5,FALSE))</f>
        <v>Medium</v>
      </c>
      <c r="AF68" s="370" t="str">
        <f t="shared" si="5"/>
        <v>Standard difficulty applied</v>
      </c>
      <c r="AG68" s="401" t="str">
        <f t="shared" si="6"/>
        <v>Medium</v>
      </c>
      <c r="AH68" s="363">
        <f t="shared" si="1"/>
        <v>0.67</v>
      </c>
      <c r="AI68" s="122" t="s">
        <v>1126</v>
      </c>
      <c r="AJ68" s="363">
        <f>IF(AI68="","",IF(VLOOKUP(AI68,'G-7 WaterC'' Data'!$AA$4:$AB$7,2,FALSE)=0,"Spatial Data Missing ⚠",VLOOKUP(AI68,'G-7 WaterC'' Data'!$AA$4:$AB$7,2,FALSE)))</f>
        <v>1</v>
      </c>
      <c r="AK68" s="123" t="s">
        <v>1142</v>
      </c>
      <c r="AL68" s="363">
        <f>IF(AK68="","",IF(VLOOKUP(AK68,'G-7 WaterC'' Data'!$AD$4:$AE$14,2,FALSE)=0,"Spatial Data Missing ⚠",VLOOKUP(AK68,'G-7 WaterC'' Data'!$AD$4:$AE$14,2,FALSE)))</f>
        <v>0.87</v>
      </c>
      <c r="AM68" s="405">
        <f t="shared" si="7"/>
        <v>0.94385691038186614</v>
      </c>
      <c r="AN68" s="117"/>
      <c r="AO68" s="118"/>
      <c r="AP68" s="120" t="s">
        <v>2063</v>
      </c>
      <c r="AV68" s="30" t="str">
        <f>IFERROR(INDEX('G-7 WaterC'' Data'!$AZ$3:$AZ$7,MATCH(N68,'G-7 WaterC'' Data'!$AY$3:$AY$7,0)),"")</f>
        <v>Rivercond1</v>
      </c>
    </row>
    <row r="69" spans="2:48" ht="28.5" x14ac:dyDescent="0.2">
      <c r="B69" s="392">
        <f>'C-1 On-Site WaterC'' Baseline'!AO67</f>
        <v>63</v>
      </c>
      <c r="C69" s="382" t="str">
        <f>IF(B69="","",VLOOKUP($B69,'C-1 On-Site WaterC'' Baseline'!$C$9:$R$257,2,FALSE))</f>
        <v>Ditches</v>
      </c>
      <c r="D69" s="382">
        <f>IF(C69="","",VLOOKUP($B69,'C-1 On-Site WaterC'' Baseline'!$C$9:$R$257,3,FALSE))</f>
        <v>7.7235355385547128E-2</v>
      </c>
      <c r="E69" s="382" t="str">
        <f>IF(D69="","",VLOOKUP($B69,'C-1 On-Site WaterC'' Baseline'!$C$9:$R$257,4,FALSE))</f>
        <v>Medium</v>
      </c>
      <c r="F69" s="382">
        <f>IF(E69="","",VLOOKUP($B69,'C-1 On-Site WaterC'' Baseline'!$C$9:$R$257,5,FALSE))</f>
        <v>4</v>
      </c>
      <c r="G69" s="382" t="str">
        <f>IF(F69="","",VLOOKUP($B69,'C-1 On-Site WaterC'' Baseline'!$C$9:$R$257,6,FALSE))</f>
        <v>Poor</v>
      </c>
      <c r="H69" s="382">
        <f>IF(G69="","",VLOOKUP($B69,'C-1 On-Site WaterC'' Baseline'!$C$9:$R$257,7,FALSE))</f>
        <v>1</v>
      </c>
      <c r="I69" s="382" t="str">
        <f>IF(H69="","",VLOOKUP($B69,'C-1 On-Site WaterC'' Baseline'!$C$9:$R$257,8,FALSE))</f>
        <v>Formally identified in local strategy</v>
      </c>
      <c r="J69" s="382" t="str">
        <f>IF(I69="","",VLOOKUP($B69,'C-1 On-Site WaterC'' Baseline'!$C$9:$R$257,9,FALSE))</f>
        <v xml:space="preserve">High strategic significance </v>
      </c>
      <c r="K69" s="382">
        <f>IF(J69="","",VLOOKUP($B69,'C-1 On-Site WaterC'' Baseline'!$C$9:$R$257,10,FALSE))</f>
        <v>1.1499999999999999</v>
      </c>
      <c r="L69" s="382" t="str">
        <f>IF(B69="","",VLOOKUP($B69,'C-1 On-Site WaterC'' Baseline'!$C$9:$R$257,15,FALSE))</f>
        <v>Same habitat required =</v>
      </c>
      <c r="M69" s="386">
        <f>IF(L69="","",VLOOKUP($B69,'C-1 On-Site WaterC'' Baseline'!$C$9:$R$257,16,FALSE))</f>
        <v>0.26646197608013755</v>
      </c>
      <c r="N69" s="320" t="str">
        <f t="shared" si="0"/>
        <v>Ditches</v>
      </c>
      <c r="O69" s="362" t="str">
        <f t="shared" si="2"/>
        <v>Medium - Medium</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Poor - Poor</v>
      </c>
      <c r="Q69" s="425">
        <f>IF(N69="","",VLOOKUP(B69,'C-1 On-Site WaterC'' Baseline'!$C$10:$AB$257,19,FALSE))</f>
        <v>7.7235355385547128E-2</v>
      </c>
      <c r="R69" s="362" t="str">
        <f>IF(N69="","",VLOOKUP(N69,'G-7 WaterC'' Data'!$B$2:$G$8,2,FALSE))</f>
        <v>Medium</v>
      </c>
      <c r="S69" s="363">
        <f>IFERROR(VLOOKUP(R69,'G-7 WaterC'' Data'!$C$4:$D$8,2,FALSE),"")</f>
        <v>4</v>
      </c>
      <c r="T69" s="114" t="s">
        <v>329</v>
      </c>
      <c r="U69" s="363">
        <f>IFERROR(INDEX('G-7 WaterC'' Data'!$H$4:$L$8,MATCH(N69,'G-7 WaterC'' Data'!$B$4:$B$8,0),MATCH(T69,'G-7 WaterC'' Data'!$H$3:$L$3,0)),"")</f>
        <v>1</v>
      </c>
      <c r="V69" s="114" t="s">
        <v>1029</v>
      </c>
      <c r="W69" s="370" t="str">
        <f>IF(V69="","",IF(VLOOKUP(V69,'G-7 WaterC'' Data'!$AK$4:$AM$6,2,FALSE)=0,"Spatial Data Missing ⚠",VLOOKUP(V69,'G-7 WaterC'' Data'!$AK$4:$AM$6,2,FALSE)))</f>
        <v xml:space="preserve">High strategic significance </v>
      </c>
      <c r="X69" s="363">
        <f>IF(V69="","",IF(VLOOKUP(V69,'G-7 WaterC'' Data'!$AK$4:$AM$6,3,FALSE)=0,"Spatial Data Missing ⚠",VLOOKUP(V69,'G-7 WaterC'' Data'!$AK$4:$AM$6,3,FALSE)))</f>
        <v>1.1499999999999999</v>
      </c>
      <c r="Y69" s="362">
        <f>IFERROR(IF(OR(LEFT(P69,5)="Error",LEFT(O69,5)="Error ▲"),"Check Data ⚠",IF(F69&lt;S69,'G-7 WaterC'' Data'!$R$3,INDEX('G-7 WaterC'' Data'!$U$5:$Y$9,MATCH(G69,'G-7 WaterC'' Data'!$T$5:$T$9,0),MATCH(T69,'G-7 WaterC'' Data'!$U$4:$Y$4,0)))),"")</f>
        <v>1</v>
      </c>
      <c r="Z69" s="159">
        <v>0</v>
      </c>
      <c r="AA69" s="159">
        <v>0</v>
      </c>
      <c r="AB69" s="370" t="str">
        <f t="shared" si="3"/>
        <v>Standard time to target condition applied</v>
      </c>
      <c r="AC69" s="383">
        <f t="shared" si="4"/>
        <v>1</v>
      </c>
      <c r="AD69" s="422">
        <f>IFERROR(IF(AC69="Check Data ⚠","Check Data ⚠",VLOOKUP(AC69,'G-4 Temporal multipliers'!$A$4:$C$37,3,FALSE)),"")</f>
        <v>0.96499999999999997</v>
      </c>
      <c r="AE69" s="362" t="str">
        <f>IF(N69="","",VLOOKUP(N69,'G-7 WaterC'' Data'!$B$4:$G$8,5,FALSE))</f>
        <v>Medium</v>
      </c>
      <c r="AF69" s="370" t="str">
        <f t="shared" si="5"/>
        <v>Standard difficulty applied</v>
      </c>
      <c r="AG69" s="401" t="str">
        <f t="shared" si="6"/>
        <v>Medium</v>
      </c>
      <c r="AH69" s="363">
        <f t="shared" si="1"/>
        <v>0.67</v>
      </c>
      <c r="AI69" s="122" t="s">
        <v>1126</v>
      </c>
      <c r="AJ69" s="363">
        <f>IF(AI69="","",IF(VLOOKUP(AI69,'G-7 WaterC'' Data'!$AA$4:$AB$7,2,FALSE)=0,"Spatial Data Missing ⚠",VLOOKUP(AI69,'G-7 WaterC'' Data'!$AA$4:$AB$7,2,FALSE)))</f>
        <v>1</v>
      </c>
      <c r="AK69" s="123" t="s">
        <v>1153</v>
      </c>
      <c r="AL69" s="363">
        <f>IF(AK69="","",IF(VLOOKUP(AK69,'G-7 WaterC'' Data'!$AD$4:$AE$14,2,FALSE)=0,"Spatial Data Missing ⚠",VLOOKUP(AK69,'G-7 WaterC'' Data'!$AD$4:$AE$14,2,FALSE)))</f>
        <v>1</v>
      </c>
      <c r="AM69" s="405">
        <f t="shared" si="7"/>
        <v>0.35528263477351674</v>
      </c>
      <c r="AN69" s="117"/>
      <c r="AO69" s="118"/>
      <c r="AP69" s="120" t="s">
        <v>2064</v>
      </c>
      <c r="AV69" s="30" t="str">
        <f>IFERROR(INDEX('G-7 WaterC'' Data'!$AZ$3:$AZ$7,MATCH(N69,'G-7 WaterC'' Data'!$AY$3:$AY$7,0)),"")</f>
        <v>Rivercond1</v>
      </c>
    </row>
    <row r="70" spans="2:48" ht="28.5" x14ac:dyDescent="0.2">
      <c r="B70" s="392">
        <f>'C-1 On-Site WaterC'' Baseline'!AO68</f>
        <v>64</v>
      </c>
      <c r="C70" s="382" t="str">
        <f>IF(B70="","",VLOOKUP($B70,'C-1 On-Site WaterC'' Baseline'!$C$9:$R$257,2,FALSE))</f>
        <v>Ditches</v>
      </c>
      <c r="D70" s="382">
        <f>IF(C70="","",VLOOKUP($B70,'C-1 On-Site WaterC'' Baseline'!$C$9:$R$257,3,FALSE))</f>
        <v>1.87704844493836E-2</v>
      </c>
      <c r="E70" s="382" t="str">
        <f>IF(D70="","",VLOOKUP($B70,'C-1 On-Site WaterC'' Baseline'!$C$9:$R$257,4,FALSE))</f>
        <v>Medium</v>
      </c>
      <c r="F70" s="382">
        <f>IF(E70="","",VLOOKUP($B70,'C-1 On-Site WaterC'' Baseline'!$C$9:$R$257,5,FALSE))</f>
        <v>4</v>
      </c>
      <c r="G70" s="382" t="str">
        <f>IF(F70="","",VLOOKUP($B70,'C-1 On-Site WaterC'' Baseline'!$C$9:$R$257,6,FALSE))</f>
        <v>Poor</v>
      </c>
      <c r="H70" s="382">
        <f>IF(G70="","",VLOOKUP($B70,'C-1 On-Site WaterC'' Baseline'!$C$9:$R$257,7,FALSE))</f>
        <v>1</v>
      </c>
      <c r="I70" s="382" t="str">
        <f>IF(H70="","",VLOOKUP($B70,'C-1 On-Site WaterC'' Baseline'!$C$9:$R$257,8,FALSE))</f>
        <v>Area/compensation not in local strategy/ no local strategy</v>
      </c>
      <c r="J70" s="382" t="str">
        <f>IF(I70="","",VLOOKUP($B70,'C-1 On-Site WaterC'' Baseline'!$C$9:$R$257,9,FALSE))</f>
        <v>Low Strategic Significance</v>
      </c>
      <c r="K70" s="382">
        <f>IF(J70="","",VLOOKUP($B70,'C-1 On-Site WaterC'' Baseline'!$C$9:$R$257,10,FALSE))</f>
        <v>1</v>
      </c>
      <c r="L70" s="382" t="str">
        <f>IF(B70="","",VLOOKUP($B70,'C-1 On-Site WaterC'' Baseline'!$C$9:$R$257,15,FALSE))</f>
        <v>Same habitat required =</v>
      </c>
      <c r="M70" s="386">
        <f>IF(L70="","",VLOOKUP($B70,'C-1 On-Site WaterC'' Baseline'!$C$9:$R$257,16,FALSE))</f>
        <v>5.6311453348150797E-2</v>
      </c>
      <c r="N70" s="320" t="str">
        <f t="shared" si="0"/>
        <v>Ditches</v>
      </c>
      <c r="O70" s="362" t="str">
        <f t="shared" si="2"/>
        <v>Medium - Medium</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Poor - Poor</v>
      </c>
      <c r="Q70" s="425">
        <f>IF(N70="","",VLOOKUP(B70,'C-1 On-Site WaterC'' Baseline'!$C$10:$AB$257,19,FALSE))</f>
        <v>1.87704844493836E-2</v>
      </c>
      <c r="R70" s="362" t="str">
        <f>IF(N70="","",VLOOKUP(N70,'G-7 WaterC'' Data'!$B$2:$G$8,2,FALSE))</f>
        <v>Medium</v>
      </c>
      <c r="S70" s="363">
        <f>IFERROR(VLOOKUP(R70,'G-7 WaterC'' Data'!$C$4:$D$8,2,FALSE),"")</f>
        <v>4</v>
      </c>
      <c r="T70" s="114" t="s">
        <v>329</v>
      </c>
      <c r="U70" s="363">
        <f>IFERROR(INDEX('G-7 WaterC'' Data'!$H$4:$L$8,MATCH(N70,'G-7 WaterC'' Data'!$B$4:$B$8,0),MATCH(T70,'G-7 WaterC'' Data'!$H$3:$L$3,0)),"")</f>
        <v>1</v>
      </c>
      <c r="V70" s="114" t="s">
        <v>1037</v>
      </c>
      <c r="W70" s="370" t="str">
        <f>IF(V70="","",IF(VLOOKUP(V70,'G-7 WaterC'' Data'!$AK$4:$AM$6,2,FALSE)=0,"Spatial Data Missing ⚠",VLOOKUP(V70,'G-7 WaterC'' Data'!$AK$4:$AM$6,2,FALSE)))</f>
        <v>Low Strategic Significance</v>
      </c>
      <c r="X70" s="363">
        <f>IF(V70="","",IF(VLOOKUP(V70,'G-7 WaterC'' Data'!$AK$4:$AM$6,3,FALSE)=0,"Spatial Data Missing ⚠",VLOOKUP(V70,'G-7 WaterC'' Data'!$AK$4:$AM$6,3,FALSE)))</f>
        <v>1</v>
      </c>
      <c r="Y70" s="362">
        <f>IFERROR(IF(OR(LEFT(P70,5)="Error",LEFT(O70,5)="Error ▲"),"Check Data ⚠",IF(F70&lt;S70,'G-7 WaterC'' Data'!$R$3,INDEX('G-7 WaterC'' Data'!$U$5:$Y$9,MATCH(G70,'G-7 WaterC'' Data'!$T$5:$T$9,0),MATCH(T70,'G-7 WaterC'' Data'!$U$4:$Y$4,0)))),"")</f>
        <v>1</v>
      </c>
      <c r="Z70" s="159">
        <v>0</v>
      </c>
      <c r="AA70" s="159">
        <v>0</v>
      </c>
      <c r="AB70" s="370" t="str">
        <f t="shared" si="3"/>
        <v>Standard time to target condition applied</v>
      </c>
      <c r="AC70" s="383">
        <f t="shared" si="4"/>
        <v>1</v>
      </c>
      <c r="AD70" s="422">
        <f>IFERROR(IF(AC70="Check Data ⚠","Check Data ⚠",VLOOKUP(AC70,'G-4 Temporal multipliers'!$A$4:$C$37,3,FALSE)),"")</f>
        <v>0.96499999999999997</v>
      </c>
      <c r="AE70" s="362" t="str">
        <f>IF(N70="","",VLOOKUP(N70,'G-7 WaterC'' Data'!$B$4:$G$8,5,FALSE))</f>
        <v>Medium</v>
      </c>
      <c r="AF70" s="370" t="str">
        <f t="shared" si="5"/>
        <v>Standard difficulty applied</v>
      </c>
      <c r="AG70" s="401" t="str">
        <f t="shared" si="6"/>
        <v>Medium</v>
      </c>
      <c r="AH70" s="363">
        <f t="shared" si="1"/>
        <v>0.67</v>
      </c>
      <c r="AI70" s="122" t="s">
        <v>1126</v>
      </c>
      <c r="AJ70" s="363">
        <f>IF(AI70="","",IF(VLOOKUP(AI70,'G-7 WaterC'' Data'!$AA$4:$AB$7,2,FALSE)=0,"Spatial Data Missing ⚠",VLOOKUP(AI70,'G-7 WaterC'' Data'!$AA$4:$AB$7,2,FALSE)))</f>
        <v>1</v>
      </c>
      <c r="AK70" s="123" t="s">
        <v>1153</v>
      </c>
      <c r="AL70" s="363">
        <f>IF(AK70="","",IF(VLOOKUP(AK70,'G-7 WaterC'' Data'!$AD$4:$AE$14,2,FALSE)=0,"Spatial Data Missing ⚠",VLOOKUP(AK70,'G-7 WaterC'' Data'!$AD$4:$AE$14,2,FALSE)))</f>
        <v>1</v>
      </c>
      <c r="AM70" s="405">
        <f t="shared" si="7"/>
        <v>7.5081937797534401E-2</v>
      </c>
      <c r="AN70" s="117"/>
      <c r="AO70" s="118"/>
      <c r="AP70" s="120" t="s">
        <v>2065</v>
      </c>
      <c r="AV70" s="30" t="str">
        <f>IFERROR(INDEX('G-7 WaterC'' Data'!$AZ$3:$AZ$7,MATCH(N70,'G-7 WaterC'' Data'!$AY$3:$AY$7,0)),"")</f>
        <v>Rivercond1</v>
      </c>
    </row>
    <row r="71" spans="2:48" ht="28.5" x14ac:dyDescent="0.2">
      <c r="B71" s="392">
        <f>'C-1 On-Site WaterC'' Baseline'!AO69</f>
        <v>65</v>
      </c>
      <c r="C71" s="382" t="str">
        <f>IF(B71="","",VLOOKUP($B71,'C-1 On-Site WaterC'' Baseline'!$C$9:$R$257,2,FALSE))</f>
        <v>Ditches</v>
      </c>
      <c r="D71" s="382">
        <f>IF(C71="","",VLOOKUP($B71,'C-1 On-Site WaterC'' Baseline'!$C$9:$R$257,3,FALSE))</f>
        <v>0.17961434870813542</v>
      </c>
      <c r="E71" s="382" t="str">
        <f>IF(D71="","",VLOOKUP($B71,'C-1 On-Site WaterC'' Baseline'!$C$9:$R$257,4,FALSE))</f>
        <v>Medium</v>
      </c>
      <c r="F71" s="382">
        <f>IF(E71="","",VLOOKUP($B71,'C-1 On-Site WaterC'' Baseline'!$C$9:$R$257,5,FALSE))</f>
        <v>4</v>
      </c>
      <c r="G71" s="382" t="str">
        <f>IF(F71="","",VLOOKUP($B71,'C-1 On-Site WaterC'' Baseline'!$C$9:$R$257,6,FALSE))</f>
        <v>Poor</v>
      </c>
      <c r="H71" s="382">
        <f>IF(G71="","",VLOOKUP($B71,'C-1 On-Site WaterC'' Baseline'!$C$9:$R$257,7,FALSE))</f>
        <v>1</v>
      </c>
      <c r="I71" s="382" t="str">
        <f>IF(H71="","",VLOOKUP($B71,'C-1 On-Site WaterC'' Baseline'!$C$9:$R$257,8,FALSE))</f>
        <v>Formally identified in local strategy</v>
      </c>
      <c r="J71" s="382" t="str">
        <f>IF(I71="","",VLOOKUP($B71,'C-1 On-Site WaterC'' Baseline'!$C$9:$R$257,9,FALSE))</f>
        <v xml:space="preserve">High strategic significance </v>
      </c>
      <c r="K71" s="382">
        <f>IF(J71="","",VLOOKUP($B71,'C-1 On-Site WaterC'' Baseline'!$C$9:$R$257,10,FALSE))</f>
        <v>1.1499999999999999</v>
      </c>
      <c r="L71" s="382" t="str">
        <f>IF(B71="","",VLOOKUP($B71,'C-1 On-Site WaterC'' Baseline'!$C$9:$R$257,15,FALSE))</f>
        <v>Same habitat required =</v>
      </c>
      <c r="M71" s="386">
        <f>IF(L71="","",VLOOKUP($B71,'C-1 On-Site WaterC'' Baseline'!$C$9:$R$257,16,FALSE))</f>
        <v>0.61966950304306712</v>
      </c>
      <c r="N71" s="320" t="str">
        <f t="shared" si="0"/>
        <v>Ditches</v>
      </c>
      <c r="O71" s="362" t="str">
        <f t="shared" si="2"/>
        <v>Medium - Medium</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Poor - Poor</v>
      </c>
      <c r="Q71" s="425">
        <f>IF(N71="","",VLOOKUP(B71,'C-1 On-Site WaterC'' Baseline'!$C$10:$AB$257,19,FALSE))</f>
        <v>0.17961434870813542</v>
      </c>
      <c r="R71" s="362" t="str">
        <f>IF(N71="","",VLOOKUP(N71,'G-7 WaterC'' Data'!$B$2:$G$8,2,FALSE))</f>
        <v>Medium</v>
      </c>
      <c r="S71" s="363">
        <f>IFERROR(VLOOKUP(R71,'G-7 WaterC'' Data'!$C$4:$D$8,2,FALSE),"")</f>
        <v>4</v>
      </c>
      <c r="T71" s="114" t="s">
        <v>329</v>
      </c>
      <c r="U71" s="363">
        <f>IFERROR(INDEX('G-7 WaterC'' Data'!$H$4:$L$8,MATCH(N71,'G-7 WaterC'' Data'!$B$4:$B$8,0),MATCH(T71,'G-7 WaterC'' Data'!$H$3:$L$3,0)),"")</f>
        <v>1</v>
      </c>
      <c r="V71" s="114" t="s">
        <v>1029</v>
      </c>
      <c r="W71" s="370" t="str">
        <f>IF(V71="","",IF(VLOOKUP(V71,'G-7 WaterC'' Data'!$AK$4:$AM$6,2,FALSE)=0,"Spatial Data Missing ⚠",VLOOKUP(V71,'G-7 WaterC'' Data'!$AK$4:$AM$6,2,FALSE)))</f>
        <v xml:space="preserve">High strategic significance </v>
      </c>
      <c r="X71" s="363">
        <f>IF(V71="","",IF(VLOOKUP(V71,'G-7 WaterC'' Data'!$AK$4:$AM$6,3,FALSE)=0,"Spatial Data Missing ⚠",VLOOKUP(V71,'G-7 WaterC'' Data'!$AK$4:$AM$6,3,FALSE)))</f>
        <v>1.1499999999999999</v>
      </c>
      <c r="Y71" s="362">
        <f>IFERROR(IF(OR(LEFT(P71,5)="Error",LEFT(O71,5)="Error ▲"),"Check Data ⚠",IF(F71&lt;S71,'G-7 WaterC'' Data'!$R$3,INDEX('G-7 WaterC'' Data'!$U$5:$Y$9,MATCH(G71,'G-7 WaterC'' Data'!$T$5:$T$9,0),MATCH(T71,'G-7 WaterC'' Data'!$U$4:$Y$4,0)))),"")</f>
        <v>1</v>
      </c>
      <c r="Z71" s="159">
        <v>0</v>
      </c>
      <c r="AA71" s="159">
        <v>0</v>
      </c>
      <c r="AB71" s="370" t="str">
        <f t="shared" si="3"/>
        <v>Standard time to target condition applied</v>
      </c>
      <c r="AC71" s="383">
        <f t="shared" si="4"/>
        <v>1</v>
      </c>
      <c r="AD71" s="422">
        <f>IFERROR(IF(AC71="Check Data ⚠","Check Data ⚠",VLOOKUP(AC71,'G-4 Temporal multipliers'!$A$4:$C$37,3,FALSE)),"")</f>
        <v>0.96499999999999997</v>
      </c>
      <c r="AE71" s="362" t="str">
        <f>IF(N71="","",VLOOKUP(N71,'G-7 WaterC'' Data'!$B$4:$G$8,5,FALSE))</f>
        <v>Medium</v>
      </c>
      <c r="AF71" s="370" t="str">
        <f t="shared" si="5"/>
        <v>Standard difficulty applied</v>
      </c>
      <c r="AG71" s="401" t="str">
        <f t="shared" si="6"/>
        <v>Medium</v>
      </c>
      <c r="AH71" s="363">
        <f t="shared" si="1"/>
        <v>0.67</v>
      </c>
      <c r="AI71" s="122" t="s">
        <v>1126</v>
      </c>
      <c r="AJ71" s="363">
        <f>IF(AI71="","",IF(VLOOKUP(AI71,'G-7 WaterC'' Data'!$AA$4:$AB$7,2,FALSE)=0,"Spatial Data Missing ⚠",VLOOKUP(AI71,'G-7 WaterC'' Data'!$AA$4:$AB$7,2,FALSE)))</f>
        <v>1</v>
      </c>
      <c r="AK71" s="123" t="s">
        <v>1142</v>
      </c>
      <c r="AL71" s="363">
        <f>IF(AK71="","",IF(VLOOKUP(AK71,'G-7 WaterC'' Data'!$AD$4:$AE$14,2,FALSE)=0,"Spatial Data Missing ⚠",VLOOKUP(AK71,'G-7 WaterC'' Data'!$AD$4:$AE$14,2,FALSE)))</f>
        <v>0.87</v>
      </c>
      <c r="AM71" s="405">
        <f t="shared" si="7"/>
        <v>0.7188166235299579</v>
      </c>
      <c r="AN71" s="117"/>
      <c r="AO71" s="118"/>
      <c r="AP71" s="120" t="s">
        <v>2066</v>
      </c>
      <c r="AV71" s="30" t="str">
        <f>IFERROR(INDEX('G-7 WaterC'' Data'!$AZ$3:$AZ$7,MATCH(N71,'G-7 WaterC'' Data'!$AY$3:$AY$7,0)),"")</f>
        <v>Rivercond1</v>
      </c>
    </row>
    <row r="72" spans="2:48" ht="28.5" x14ac:dyDescent="0.2">
      <c r="B72" s="392">
        <f>'C-1 On-Site WaterC'' Baseline'!AO70</f>
        <v>66</v>
      </c>
      <c r="C72" s="382" t="str">
        <f>IF(B72="","",VLOOKUP($B72,'C-1 On-Site WaterC'' Baseline'!$C$9:$R$257,2,FALSE))</f>
        <v>Ditches</v>
      </c>
      <c r="D72" s="382">
        <f>IF(C72="","",VLOOKUP($B72,'C-1 On-Site WaterC'' Baseline'!$C$9:$R$257,3,FALSE))</f>
        <v>0.10324565779079292</v>
      </c>
      <c r="E72" s="382" t="str">
        <f>IF(D72="","",VLOOKUP($B72,'C-1 On-Site WaterC'' Baseline'!$C$9:$R$257,4,FALSE))</f>
        <v>Medium</v>
      </c>
      <c r="F72" s="382">
        <f>IF(E72="","",VLOOKUP($B72,'C-1 On-Site WaterC'' Baseline'!$C$9:$R$257,5,FALSE))</f>
        <v>4</v>
      </c>
      <c r="G72" s="382" t="str">
        <f>IF(F72="","",VLOOKUP($B72,'C-1 On-Site WaterC'' Baseline'!$C$9:$R$257,6,FALSE))</f>
        <v>Poor</v>
      </c>
      <c r="H72" s="382">
        <f>IF(G72="","",VLOOKUP($B72,'C-1 On-Site WaterC'' Baseline'!$C$9:$R$257,7,FALSE))</f>
        <v>1</v>
      </c>
      <c r="I72" s="382" t="str">
        <f>IF(H72="","",VLOOKUP($B72,'C-1 On-Site WaterC'' Baseline'!$C$9:$R$257,8,FALSE))</f>
        <v>Area/compensation not in local strategy/ no local strategy</v>
      </c>
      <c r="J72" s="382" t="str">
        <f>IF(I72="","",VLOOKUP($B72,'C-1 On-Site WaterC'' Baseline'!$C$9:$R$257,9,FALSE))</f>
        <v>Low Strategic Significance</v>
      </c>
      <c r="K72" s="382">
        <f>IF(J72="","",VLOOKUP($B72,'C-1 On-Site WaterC'' Baseline'!$C$9:$R$257,10,FALSE))</f>
        <v>1</v>
      </c>
      <c r="L72" s="382" t="str">
        <f>IF(B72="","",VLOOKUP($B72,'C-1 On-Site WaterC'' Baseline'!$C$9:$R$257,15,FALSE))</f>
        <v>Same habitat required =</v>
      </c>
      <c r="M72" s="386">
        <f>IF(L72="","",VLOOKUP($B72,'C-1 On-Site WaterC'' Baseline'!$C$9:$R$257,16,FALSE))</f>
        <v>0.30973697337237877</v>
      </c>
      <c r="N72" s="320" t="str">
        <f t="shared" si="0"/>
        <v>Ditches</v>
      </c>
      <c r="O72" s="362" t="str">
        <f t="shared" si="2"/>
        <v>Medium - Medium</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Poor - Poor</v>
      </c>
      <c r="Q72" s="425">
        <f>IF(N72="","",VLOOKUP(B72,'C-1 On-Site WaterC'' Baseline'!$C$10:$AB$257,19,FALSE))</f>
        <v>0.10324565779079292</v>
      </c>
      <c r="R72" s="362" t="str">
        <f>IF(N72="","",VLOOKUP(N72,'G-7 WaterC'' Data'!$B$2:$G$8,2,FALSE))</f>
        <v>Medium</v>
      </c>
      <c r="S72" s="363">
        <f>IFERROR(VLOOKUP(R72,'G-7 WaterC'' Data'!$C$4:$D$8,2,FALSE),"")</f>
        <v>4</v>
      </c>
      <c r="T72" s="114" t="s">
        <v>329</v>
      </c>
      <c r="U72" s="363">
        <f>IFERROR(INDEX('G-7 WaterC'' Data'!$H$4:$L$8,MATCH(N72,'G-7 WaterC'' Data'!$B$4:$B$8,0),MATCH(T72,'G-7 WaterC'' Data'!$H$3:$L$3,0)),"")</f>
        <v>1</v>
      </c>
      <c r="V72" s="114" t="s">
        <v>1037</v>
      </c>
      <c r="W72" s="370" t="str">
        <f>IF(V72="","",IF(VLOOKUP(V72,'G-7 WaterC'' Data'!$AK$4:$AM$6,2,FALSE)=0,"Spatial Data Missing ⚠",VLOOKUP(V72,'G-7 WaterC'' Data'!$AK$4:$AM$6,2,FALSE)))</f>
        <v>Low Strategic Significance</v>
      </c>
      <c r="X72" s="363">
        <f>IF(V72="","",IF(VLOOKUP(V72,'G-7 WaterC'' Data'!$AK$4:$AM$6,3,FALSE)=0,"Spatial Data Missing ⚠",VLOOKUP(V72,'G-7 WaterC'' Data'!$AK$4:$AM$6,3,FALSE)))</f>
        <v>1</v>
      </c>
      <c r="Y72" s="362">
        <f>IFERROR(IF(OR(LEFT(P72,5)="Error",LEFT(O72,5)="Error ▲"),"Check Data ⚠",IF(F72&lt;S72,'G-7 WaterC'' Data'!$R$3,INDEX('G-7 WaterC'' Data'!$U$5:$Y$9,MATCH(G72,'G-7 WaterC'' Data'!$T$5:$T$9,0),MATCH(T72,'G-7 WaterC'' Data'!$U$4:$Y$4,0)))),"")</f>
        <v>1</v>
      </c>
      <c r="Z72" s="159">
        <v>0</v>
      </c>
      <c r="AA72" s="159">
        <v>0</v>
      </c>
      <c r="AB72" s="370" t="str">
        <f t="shared" si="3"/>
        <v>Standard time to target condition applied</v>
      </c>
      <c r="AC72" s="383">
        <f t="shared" si="4"/>
        <v>1</v>
      </c>
      <c r="AD72" s="422">
        <f>IFERROR(IF(AC72="Check Data ⚠","Check Data ⚠",VLOOKUP(AC72,'G-4 Temporal multipliers'!$A$4:$C$37,3,FALSE)),"")</f>
        <v>0.96499999999999997</v>
      </c>
      <c r="AE72" s="362" t="str">
        <f>IF(N72="","",VLOOKUP(N72,'G-7 WaterC'' Data'!$B$4:$G$8,5,FALSE))</f>
        <v>Medium</v>
      </c>
      <c r="AF72" s="370" t="str">
        <f t="shared" si="5"/>
        <v>Standard difficulty applied</v>
      </c>
      <c r="AG72" s="401" t="str">
        <f t="shared" si="6"/>
        <v>Medium</v>
      </c>
      <c r="AH72" s="363">
        <f t="shared" si="1"/>
        <v>0.67</v>
      </c>
      <c r="AI72" s="122" t="s">
        <v>1126</v>
      </c>
      <c r="AJ72" s="363">
        <f>IF(AI72="","",IF(VLOOKUP(AI72,'G-7 WaterC'' Data'!$AA$4:$AB$7,2,FALSE)=0,"Spatial Data Missing ⚠",VLOOKUP(AI72,'G-7 WaterC'' Data'!$AA$4:$AB$7,2,FALSE)))</f>
        <v>1</v>
      </c>
      <c r="AK72" s="123" t="s">
        <v>1153</v>
      </c>
      <c r="AL72" s="363">
        <f>IF(AK72="","",IF(VLOOKUP(AK72,'G-7 WaterC'' Data'!$AD$4:$AE$14,2,FALSE)=0,"Spatial Data Missing ⚠",VLOOKUP(AK72,'G-7 WaterC'' Data'!$AD$4:$AE$14,2,FALSE)))</f>
        <v>1</v>
      </c>
      <c r="AM72" s="405">
        <f t="shared" si="7"/>
        <v>0.41298263116317169</v>
      </c>
      <c r="AN72" s="117"/>
      <c r="AO72" s="118"/>
      <c r="AP72" s="120" t="s">
        <v>2067</v>
      </c>
      <c r="AV72" s="30" t="str">
        <f>IFERROR(INDEX('G-7 WaterC'' Data'!$AZ$3:$AZ$7,MATCH(N72,'G-7 WaterC'' Data'!$AY$3:$AY$7,0)),"")</f>
        <v>Rivercond1</v>
      </c>
    </row>
    <row r="73" spans="2:48" ht="28.5" x14ac:dyDescent="0.2">
      <c r="B73" s="392">
        <f>'C-1 On-Site WaterC'' Baseline'!AO71</f>
        <v>67</v>
      </c>
      <c r="C73" s="382" t="str">
        <f>IF(B73="","",VLOOKUP($B73,'C-1 On-Site WaterC'' Baseline'!$C$9:$R$257,2,FALSE))</f>
        <v>Ditches</v>
      </c>
      <c r="D73" s="382">
        <f>IF(C73="","",VLOOKUP($B73,'C-1 On-Site WaterC'' Baseline'!$C$9:$R$257,3,FALSE))</f>
        <v>2.5646838980534034E-2</v>
      </c>
      <c r="E73" s="382" t="str">
        <f>IF(D73="","",VLOOKUP($B73,'C-1 On-Site WaterC'' Baseline'!$C$9:$R$257,4,FALSE))</f>
        <v>Medium</v>
      </c>
      <c r="F73" s="382">
        <f>IF(E73="","",VLOOKUP($B73,'C-1 On-Site WaterC'' Baseline'!$C$9:$R$257,5,FALSE))</f>
        <v>4</v>
      </c>
      <c r="G73" s="382" t="str">
        <f>IF(F73="","",VLOOKUP($B73,'C-1 On-Site WaterC'' Baseline'!$C$9:$R$257,6,FALSE))</f>
        <v>Poor</v>
      </c>
      <c r="H73" s="382">
        <f>IF(G73="","",VLOOKUP($B73,'C-1 On-Site WaterC'' Baseline'!$C$9:$R$257,7,FALSE))</f>
        <v>1</v>
      </c>
      <c r="I73" s="382" t="str">
        <f>IF(H73="","",VLOOKUP($B73,'C-1 On-Site WaterC'' Baseline'!$C$9:$R$257,8,FALSE))</f>
        <v>Formally identified in local strategy</v>
      </c>
      <c r="J73" s="382" t="str">
        <f>IF(I73="","",VLOOKUP($B73,'C-1 On-Site WaterC'' Baseline'!$C$9:$R$257,9,FALSE))</f>
        <v xml:space="preserve">High strategic significance </v>
      </c>
      <c r="K73" s="382">
        <f>IF(J73="","",VLOOKUP($B73,'C-1 On-Site WaterC'' Baseline'!$C$9:$R$257,10,FALSE))</f>
        <v>1.1499999999999999</v>
      </c>
      <c r="L73" s="382" t="str">
        <f>IF(B73="","",VLOOKUP($B73,'C-1 On-Site WaterC'' Baseline'!$C$9:$R$257,15,FALSE))</f>
        <v>Same habitat required =</v>
      </c>
      <c r="M73" s="386">
        <f>IF(L73="","",VLOOKUP($B73,'C-1 On-Site WaterC'' Baseline'!$C$9:$R$257,16,FALSE))</f>
        <v>8.8481594482842416E-2</v>
      </c>
      <c r="N73" s="320" t="str">
        <f t="shared" si="0"/>
        <v>Ditches</v>
      </c>
      <c r="O73" s="362" t="str">
        <f t="shared" si="2"/>
        <v>Medium - Medium</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Poor - Poor</v>
      </c>
      <c r="Q73" s="425">
        <f>IF(N73="","",VLOOKUP(B73,'C-1 On-Site WaterC'' Baseline'!$C$10:$AB$257,19,FALSE))</f>
        <v>2.5646838980534034E-2</v>
      </c>
      <c r="R73" s="362" t="str">
        <f>IF(N73="","",VLOOKUP(N73,'G-7 WaterC'' Data'!$B$2:$G$8,2,FALSE))</f>
        <v>Medium</v>
      </c>
      <c r="S73" s="363">
        <f>IFERROR(VLOOKUP(R73,'G-7 WaterC'' Data'!$C$4:$D$8,2,FALSE),"")</f>
        <v>4</v>
      </c>
      <c r="T73" s="114" t="s">
        <v>329</v>
      </c>
      <c r="U73" s="363">
        <f>IFERROR(INDEX('G-7 WaterC'' Data'!$H$4:$L$8,MATCH(N73,'G-7 WaterC'' Data'!$B$4:$B$8,0),MATCH(T73,'G-7 WaterC'' Data'!$H$3:$L$3,0)),"")</f>
        <v>1</v>
      </c>
      <c r="V73" s="114" t="s">
        <v>1029</v>
      </c>
      <c r="W73" s="370" t="str">
        <f>IF(V73="","",IF(VLOOKUP(V73,'G-7 WaterC'' Data'!$AK$4:$AM$6,2,FALSE)=0,"Spatial Data Missing ⚠",VLOOKUP(V73,'G-7 WaterC'' Data'!$AK$4:$AM$6,2,FALSE)))</f>
        <v xml:space="preserve">High strategic significance </v>
      </c>
      <c r="X73" s="363">
        <f>IF(V73="","",IF(VLOOKUP(V73,'G-7 WaterC'' Data'!$AK$4:$AM$6,3,FALSE)=0,"Spatial Data Missing ⚠",VLOOKUP(V73,'G-7 WaterC'' Data'!$AK$4:$AM$6,3,FALSE)))</f>
        <v>1.1499999999999999</v>
      </c>
      <c r="Y73" s="362">
        <f>IFERROR(IF(OR(LEFT(P73,5)="Error",LEFT(O73,5)="Error ▲"),"Check Data ⚠",IF(F73&lt;S73,'G-7 WaterC'' Data'!$R$3,INDEX('G-7 WaterC'' Data'!$U$5:$Y$9,MATCH(G73,'G-7 WaterC'' Data'!$T$5:$T$9,0),MATCH(T73,'G-7 WaterC'' Data'!$U$4:$Y$4,0)))),"")</f>
        <v>1</v>
      </c>
      <c r="Z73" s="159">
        <v>0</v>
      </c>
      <c r="AA73" s="159">
        <v>0</v>
      </c>
      <c r="AB73" s="370" t="str">
        <f t="shared" si="3"/>
        <v>Standard time to target condition applied</v>
      </c>
      <c r="AC73" s="383">
        <f t="shared" si="4"/>
        <v>1</v>
      </c>
      <c r="AD73" s="422">
        <f>IFERROR(IF(AC73="Check Data ⚠","Check Data ⚠",VLOOKUP(AC73,'G-4 Temporal multipliers'!$A$4:$C$37,3,FALSE)),"")</f>
        <v>0.96499999999999997</v>
      </c>
      <c r="AE73" s="362" t="str">
        <f>IF(N73="","",VLOOKUP(N73,'G-7 WaterC'' Data'!$B$4:$G$8,5,FALSE))</f>
        <v>Medium</v>
      </c>
      <c r="AF73" s="370" t="str">
        <f t="shared" si="5"/>
        <v>Standard difficulty applied</v>
      </c>
      <c r="AG73" s="401" t="str">
        <f t="shared" si="6"/>
        <v>Medium</v>
      </c>
      <c r="AH73" s="363">
        <f t="shared" si="1"/>
        <v>0.67</v>
      </c>
      <c r="AI73" s="122" t="s">
        <v>1126</v>
      </c>
      <c r="AJ73" s="363">
        <f>IF(AI73="","",IF(VLOOKUP(AI73,'G-7 WaterC'' Data'!$AA$4:$AB$7,2,FALSE)=0,"Spatial Data Missing ⚠",VLOOKUP(AI73,'G-7 WaterC'' Data'!$AA$4:$AB$7,2,FALSE)))</f>
        <v>1</v>
      </c>
      <c r="AK73" s="123" t="s">
        <v>1153</v>
      </c>
      <c r="AL73" s="363">
        <f>IF(AK73="","",IF(VLOOKUP(AK73,'G-7 WaterC'' Data'!$AD$4:$AE$14,2,FALSE)=0,"Spatial Data Missing ⚠",VLOOKUP(AK73,'G-7 WaterC'' Data'!$AD$4:$AE$14,2,FALSE)))</f>
        <v>1</v>
      </c>
      <c r="AM73" s="405">
        <f t="shared" si="7"/>
        <v>0.11797545931045655</v>
      </c>
      <c r="AN73" s="117"/>
      <c r="AO73" s="118"/>
      <c r="AP73" s="120" t="s">
        <v>2068</v>
      </c>
      <c r="AV73" s="30" t="str">
        <f>IFERROR(INDEX('G-7 WaterC'' Data'!$AZ$3:$AZ$7,MATCH(N73,'G-7 WaterC'' Data'!$AY$3:$AY$7,0)),"")</f>
        <v>Rivercond1</v>
      </c>
    </row>
    <row r="74" spans="2:48" ht="28.5" x14ac:dyDescent="0.2">
      <c r="B74" s="392">
        <f>'C-1 On-Site WaterC'' Baseline'!AO72</f>
        <v>68</v>
      </c>
      <c r="C74" s="382" t="str">
        <f>IF(B74="","",VLOOKUP($B74,'C-1 On-Site WaterC'' Baseline'!$C$9:$R$257,2,FALSE))</f>
        <v>Ditches</v>
      </c>
      <c r="D74" s="382">
        <f>IF(C74="","",VLOOKUP($B74,'C-1 On-Site WaterC'' Baseline'!$C$9:$R$257,3,FALSE))</f>
        <v>6.7789066620694768E-2</v>
      </c>
      <c r="E74" s="382" t="str">
        <f>IF(D74="","",VLOOKUP($B74,'C-1 On-Site WaterC'' Baseline'!$C$9:$R$257,4,FALSE))</f>
        <v>Medium</v>
      </c>
      <c r="F74" s="382">
        <f>IF(E74="","",VLOOKUP($B74,'C-1 On-Site WaterC'' Baseline'!$C$9:$R$257,5,FALSE))</f>
        <v>4</v>
      </c>
      <c r="G74" s="382" t="str">
        <f>IF(F74="","",VLOOKUP($B74,'C-1 On-Site WaterC'' Baseline'!$C$9:$R$257,6,FALSE))</f>
        <v>Poor</v>
      </c>
      <c r="H74" s="382">
        <f>IF(G74="","",VLOOKUP($B74,'C-1 On-Site WaterC'' Baseline'!$C$9:$R$257,7,FALSE))</f>
        <v>1</v>
      </c>
      <c r="I74" s="382" t="str">
        <f>IF(H74="","",VLOOKUP($B74,'C-1 On-Site WaterC'' Baseline'!$C$9:$R$257,8,FALSE))</f>
        <v>Formally identified in local strategy</v>
      </c>
      <c r="J74" s="382" t="str">
        <f>IF(I74="","",VLOOKUP($B74,'C-1 On-Site WaterC'' Baseline'!$C$9:$R$257,9,FALSE))</f>
        <v xml:space="preserve">High strategic significance </v>
      </c>
      <c r="K74" s="382">
        <f>IF(J74="","",VLOOKUP($B74,'C-1 On-Site WaterC'' Baseline'!$C$9:$R$257,10,FALSE))</f>
        <v>1.1499999999999999</v>
      </c>
      <c r="L74" s="382" t="str">
        <f>IF(B74="","",VLOOKUP($B74,'C-1 On-Site WaterC'' Baseline'!$C$9:$R$257,15,FALSE))</f>
        <v>Same habitat required =</v>
      </c>
      <c r="M74" s="386">
        <f>IF(L74="","",VLOOKUP($B74,'C-1 On-Site WaterC'' Baseline'!$C$9:$R$257,16,FALSE))</f>
        <v>0.23387227984139694</v>
      </c>
      <c r="N74" s="320" t="str">
        <f t="shared" si="0"/>
        <v>Ditches</v>
      </c>
      <c r="O74" s="362" t="str">
        <f t="shared" si="2"/>
        <v>Medium - Medium</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Poor - Poor</v>
      </c>
      <c r="Q74" s="425">
        <f>IF(N74="","",VLOOKUP(B74,'C-1 On-Site WaterC'' Baseline'!$C$10:$AB$257,19,FALSE))</f>
        <v>6.7789066620694768E-2</v>
      </c>
      <c r="R74" s="362" t="str">
        <f>IF(N74="","",VLOOKUP(N74,'G-7 WaterC'' Data'!$B$2:$G$8,2,FALSE))</f>
        <v>Medium</v>
      </c>
      <c r="S74" s="363">
        <f>IFERROR(VLOOKUP(R74,'G-7 WaterC'' Data'!$C$4:$D$8,2,FALSE),"")</f>
        <v>4</v>
      </c>
      <c r="T74" s="114" t="s">
        <v>329</v>
      </c>
      <c r="U74" s="363">
        <f>IFERROR(INDEX('G-7 WaterC'' Data'!$H$4:$L$8,MATCH(N74,'G-7 WaterC'' Data'!$B$4:$B$8,0),MATCH(T74,'G-7 WaterC'' Data'!$H$3:$L$3,0)),"")</f>
        <v>1</v>
      </c>
      <c r="V74" s="114" t="s">
        <v>1029</v>
      </c>
      <c r="W74" s="370" t="str">
        <f>IF(V74="","",IF(VLOOKUP(V74,'G-7 WaterC'' Data'!$AK$4:$AM$6,2,FALSE)=0,"Spatial Data Missing ⚠",VLOOKUP(V74,'G-7 WaterC'' Data'!$AK$4:$AM$6,2,FALSE)))</f>
        <v xml:space="preserve">High strategic significance </v>
      </c>
      <c r="X74" s="363">
        <f>IF(V74="","",IF(VLOOKUP(V74,'G-7 WaterC'' Data'!$AK$4:$AM$6,3,FALSE)=0,"Spatial Data Missing ⚠",VLOOKUP(V74,'G-7 WaterC'' Data'!$AK$4:$AM$6,3,FALSE)))</f>
        <v>1.1499999999999999</v>
      </c>
      <c r="Y74" s="362">
        <f>IFERROR(IF(OR(LEFT(P74,5)="Error",LEFT(O74,5)="Error ▲"),"Check Data ⚠",IF(F74&lt;S74,'G-7 WaterC'' Data'!$R$3,INDEX('G-7 WaterC'' Data'!$U$5:$Y$9,MATCH(G74,'G-7 WaterC'' Data'!$T$5:$T$9,0),MATCH(T74,'G-7 WaterC'' Data'!$U$4:$Y$4,0)))),"")</f>
        <v>1</v>
      </c>
      <c r="Z74" s="159">
        <v>0</v>
      </c>
      <c r="AA74" s="159">
        <v>0</v>
      </c>
      <c r="AB74" s="370" t="str">
        <f t="shared" si="3"/>
        <v>Standard time to target condition applied</v>
      </c>
      <c r="AC74" s="383">
        <f t="shared" si="4"/>
        <v>1</v>
      </c>
      <c r="AD74" s="422">
        <f>IFERROR(IF(AC74="Check Data ⚠","Check Data ⚠",VLOOKUP(AC74,'G-4 Temporal multipliers'!$A$4:$C$37,3,FALSE)),"")</f>
        <v>0.96499999999999997</v>
      </c>
      <c r="AE74" s="362" t="str">
        <f>IF(N74="","",VLOOKUP(N74,'G-7 WaterC'' Data'!$B$4:$G$8,5,FALSE))</f>
        <v>Medium</v>
      </c>
      <c r="AF74" s="370" t="str">
        <f t="shared" si="5"/>
        <v>Standard difficulty applied</v>
      </c>
      <c r="AG74" s="401" t="str">
        <f t="shared" si="6"/>
        <v>Medium</v>
      </c>
      <c r="AH74" s="363">
        <f t="shared" si="1"/>
        <v>0.67</v>
      </c>
      <c r="AI74" s="122" t="s">
        <v>1126</v>
      </c>
      <c r="AJ74" s="363">
        <f>IF(AI74="","",IF(VLOOKUP(AI74,'G-7 WaterC'' Data'!$AA$4:$AB$7,2,FALSE)=0,"Spatial Data Missing ⚠",VLOOKUP(AI74,'G-7 WaterC'' Data'!$AA$4:$AB$7,2,FALSE)))</f>
        <v>1</v>
      </c>
      <c r="AK74" s="123" t="s">
        <v>1142</v>
      </c>
      <c r="AL74" s="363">
        <f>IF(AK74="","",IF(VLOOKUP(AK74,'G-7 WaterC'' Data'!$AD$4:$AE$14,2,FALSE)=0,"Spatial Data Missing ⚠",VLOOKUP(AK74,'G-7 WaterC'' Data'!$AD$4:$AE$14,2,FALSE)))</f>
        <v>0.87</v>
      </c>
      <c r="AM74" s="405">
        <f t="shared" si="7"/>
        <v>0.27129184461602046</v>
      </c>
      <c r="AN74" s="117"/>
      <c r="AO74" s="118"/>
      <c r="AP74" s="120" t="s">
        <v>2069</v>
      </c>
      <c r="AV74" s="30" t="str">
        <f>IFERROR(INDEX('G-7 WaterC'' Data'!$AZ$3:$AZ$7,MATCH(N74,'G-7 WaterC'' Data'!$AY$3:$AY$7,0)),"")</f>
        <v>Rivercond1</v>
      </c>
    </row>
    <row r="75" spans="2:48" ht="28.5" x14ac:dyDescent="0.2">
      <c r="B75" s="392">
        <f>'C-1 On-Site WaterC'' Baseline'!AO73</f>
        <v>69</v>
      </c>
      <c r="C75" s="382" t="str">
        <f>IF(B75="","",VLOOKUP($B75,'C-1 On-Site WaterC'' Baseline'!$C$9:$R$257,2,FALSE))</f>
        <v>Ditches</v>
      </c>
      <c r="D75" s="382">
        <f>IF(C75="","",VLOOKUP($B75,'C-1 On-Site WaterC'' Baseline'!$C$9:$R$257,3,FALSE))</f>
        <v>0.44781517798462372</v>
      </c>
      <c r="E75" s="382" t="str">
        <f>IF(D75="","",VLOOKUP($B75,'C-1 On-Site WaterC'' Baseline'!$C$9:$R$257,4,FALSE))</f>
        <v>Medium</v>
      </c>
      <c r="F75" s="382">
        <f>IF(E75="","",VLOOKUP($B75,'C-1 On-Site WaterC'' Baseline'!$C$9:$R$257,5,FALSE))</f>
        <v>4</v>
      </c>
      <c r="G75" s="382" t="str">
        <f>IF(F75="","",VLOOKUP($B75,'C-1 On-Site WaterC'' Baseline'!$C$9:$R$257,6,FALSE))</f>
        <v>Poor</v>
      </c>
      <c r="H75" s="382">
        <f>IF(G75="","",VLOOKUP($B75,'C-1 On-Site WaterC'' Baseline'!$C$9:$R$257,7,FALSE))</f>
        <v>1</v>
      </c>
      <c r="I75" s="382" t="str">
        <f>IF(H75="","",VLOOKUP($B75,'C-1 On-Site WaterC'' Baseline'!$C$9:$R$257,8,FALSE))</f>
        <v>Area/compensation not in local strategy/ no local strategy</v>
      </c>
      <c r="J75" s="382" t="str">
        <f>IF(I75="","",VLOOKUP($B75,'C-1 On-Site WaterC'' Baseline'!$C$9:$R$257,9,FALSE))</f>
        <v>Low Strategic Significance</v>
      </c>
      <c r="K75" s="382">
        <f>IF(J75="","",VLOOKUP($B75,'C-1 On-Site WaterC'' Baseline'!$C$9:$R$257,10,FALSE))</f>
        <v>1</v>
      </c>
      <c r="L75" s="382" t="str">
        <f>IF(B75="","",VLOOKUP($B75,'C-1 On-Site WaterC'' Baseline'!$C$9:$R$257,15,FALSE))</f>
        <v>Same habitat required =</v>
      </c>
      <c r="M75" s="386">
        <f>IF(L75="","",VLOOKUP($B75,'C-1 On-Site WaterC'' Baseline'!$C$9:$R$257,16,FALSE))</f>
        <v>1.3434455339538711</v>
      </c>
      <c r="N75" s="320" t="str">
        <f t="shared" si="0"/>
        <v>Ditches</v>
      </c>
      <c r="O75" s="362" t="str">
        <f t="shared" si="2"/>
        <v>Medium - Medium</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Poor - Poor</v>
      </c>
      <c r="Q75" s="425">
        <f>IF(N75="","",VLOOKUP(B75,'C-1 On-Site WaterC'' Baseline'!$C$10:$AB$257,19,FALSE))</f>
        <v>0.44781517798462372</v>
      </c>
      <c r="R75" s="362" t="str">
        <f>IF(N75="","",VLOOKUP(N75,'G-7 WaterC'' Data'!$B$2:$G$8,2,FALSE))</f>
        <v>Medium</v>
      </c>
      <c r="S75" s="363">
        <f>IFERROR(VLOOKUP(R75,'G-7 WaterC'' Data'!$C$4:$D$8,2,FALSE),"")</f>
        <v>4</v>
      </c>
      <c r="T75" s="114" t="s">
        <v>329</v>
      </c>
      <c r="U75" s="363">
        <f>IFERROR(INDEX('G-7 WaterC'' Data'!$H$4:$L$8,MATCH(N75,'G-7 WaterC'' Data'!$B$4:$B$8,0),MATCH(T75,'G-7 WaterC'' Data'!$H$3:$L$3,0)),"")</f>
        <v>1</v>
      </c>
      <c r="V75" s="114" t="s">
        <v>1037</v>
      </c>
      <c r="W75" s="370" t="str">
        <f>IF(V75="","",IF(VLOOKUP(V75,'G-7 WaterC'' Data'!$AK$4:$AM$6,2,FALSE)=0,"Spatial Data Missing ⚠",VLOOKUP(V75,'G-7 WaterC'' Data'!$AK$4:$AM$6,2,FALSE)))</f>
        <v>Low Strategic Significance</v>
      </c>
      <c r="X75" s="363">
        <f>IF(V75="","",IF(VLOOKUP(V75,'G-7 WaterC'' Data'!$AK$4:$AM$6,3,FALSE)=0,"Spatial Data Missing ⚠",VLOOKUP(V75,'G-7 WaterC'' Data'!$AK$4:$AM$6,3,FALSE)))</f>
        <v>1</v>
      </c>
      <c r="Y75" s="362">
        <f>IFERROR(IF(OR(LEFT(P75,5)="Error",LEFT(O75,5)="Error ▲"),"Check Data ⚠",IF(F75&lt;S75,'G-7 WaterC'' Data'!$R$3,INDEX('G-7 WaterC'' Data'!$U$5:$Y$9,MATCH(G75,'G-7 WaterC'' Data'!$T$5:$T$9,0),MATCH(T75,'G-7 WaterC'' Data'!$U$4:$Y$4,0)))),"")</f>
        <v>1</v>
      </c>
      <c r="Z75" s="159">
        <v>0</v>
      </c>
      <c r="AA75" s="159">
        <v>0</v>
      </c>
      <c r="AB75" s="370" t="str">
        <f t="shared" si="3"/>
        <v>Standard time to target condition applied</v>
      </c>
      <c r="AC75" s="383">
        <f t="shared" si="4"/>
        <v>1</v>
      </c>
      <c r="AD75" s="422">
        <f>IFERROR(IF(AC75="Check Data ⚠","Check Data ⚠",VLOOKUP(AC75,'G-4 Temporal multipliers'!$A$4:$C$37,3,FALSE)),"")</f>
        <v>0.96499999999999997</v>
      </c>
      <c r="AE75" s="362" t="str">
        <f>IF(N75="","",VLOOKUP(N75,'G-7 WaterC'' Data'!$B$4:$G$8,5,FALSE))</f>
        <v>Medium</v>
      </c>
      <c r="AF75" s="370" t="str">
        <f t="shared" si="5"/>
        <v>Standard difficulty applied</v>
      </c>
      <c r="AG75" s="401" t="str">
        <f t="shared" si="6"/>
        <v>Medium</v>
      </c>
      <c r="AH75" s="363">
        <f t="shared" si="1"/>
        <v>0.67</v>
      </c>
      <c r="AI75" s="122" t="s">
        <v>1126</v>
      </c>
      <c r="AJ75" s="363">
        <f>IF(AI75="","",IF(VLOOKUP(AI75,'G-7 WaterC'' Data'!$AA$4:$AB$7,2,FALSE)=0,"Spatial Data Missing ⚠",VLOOKUP(AI75,'G-7 WaterC'' Data'!$AA$4:$AB$7,2,FALSE)))</f>
        <v>1</v>
      </c>
      <c r="AK75" s="123" t="s">
        <v>1153</v>
      </c>
      <c r="AL75" s="363">
        <f>IF(AK75="","",IF(VLOOKUP(AK75,'G-7 WaterC'' Data'!$AD$4:$AE$14,2,FALSE)=0,"Spatial Data Missing ⚠",VLOOKUP(AK75,'G-7 WaterC'' Data'!$AD$4:$AE$14,2,FALSE)))</f>
        <v>1</v>
      </c>
      <c r="AM75" s="405">
        <f t="shared" si="7"/>
        <v>1.7912607119384949</v>
      </c>
      <c r="AN75" s="117"/>
      <c r="AO75" s="118"/>
      <c r="AP75" s="120" t="s">
        <v>2070</v>
      </c>
      <c r="AV75" s="30" t="str">
        <f>IFERROR(INDEX('G-7 WaterC'' Data'!$AZ$3:$AZ$7,MATCH(N75,'G-7 WaterC'' Data'!$AY$3:$AY$7,0)),"")</f>
        <v>Rivercond1</v>
      </c>
    </row>
    <row r="76" spans="2:48" ht="28.5" x14ac:dyDescent="0.2">
      <c r="B76" s="392">
        <f>'C-1 On-Site WaterC'' Baseline'!AO74</f>
        <v>70</v>
      </c>
      <c r="C76" s="382" t="str">
        <f>IF(B76="","",VLOOKUP($B76,'C-1 On-Site WaterC'' Baseline'!$C$9:$R$257,2,FALSE))</f>
        <v>Ditches</v>
      </c>
      <c r="D76" s="382">
        <f>IF(C76="","",VLOOKUP($B76,'C-1 On-Site WaterC'' Baseline'!$C$9:$R$257,3,FALSE))</f>
        <v>0.33715518437693009</v>
      </c>
      <c r="E76" s="382" t="str">
        <f>IF(D76="","",VLOOKUP($B76,'C-1 On-Site WaterC'' Baseline'!$C$9:$R$257,4,FALSE))</f>
        <v>Medium</v>
      </c>
      <c r="F76" s="382">
        <f>IF(E76="","",VLOOKUP($B76,'C-1 On-Site WaterC'' Baseline'!$C$9:$R$257,5,FALSE))</f>
        <v>4</v>
      </c>
      <c r="G76" s="382" t="str">
        <f>IF(F76="","",VLOOKUP($B76,'C-1 On-Site WaterC'' Baseline'!$C$9:$R$257,6,FALSE))</f>
        <v>Poor</v>
      </c>
      <c r="H76" s="382">
        <f>IF(G76="","",VLOOKUP($B76,'C-1 On-Site WaterC'' Baseline'!$C$9:$R$257,7,FALSE))</f>
        <v>1</v>
      </c>
      <c r="I76" s="382" t="str">
        <f>IF(H76="","",VLOOKUP($B76,'C-1 On-Site WaterC'' Baseline'!$C$9:$R$257,8,FALSE))</f>
        <v>Area/compensation not in local strategy/ no local strategy</v>
      </c>
      <c r="J76" s="382" t="str">
        <f>IF(I76="","",VLOOKUP($B76,'C-1 On-Site WaterC'' Baseline'!$C$9:$R$257,9,FALSE))</f>
        <v>Low Strategic Significance</v>
      </c>
      <c r="K76" s="382">
        <f>IF(J76="","",VLOOKUP($B76,'C-1 On-Site WaterC'' Baseline'!$C$9:$R$257,10,FALSE))</f>
        <v>1</v>
      </c>
      <c r="L76" s="382" t="str">
        <f>IF(B76="","",VLOOKUP($B76,'C-1 On-Site WaterC'' Baseline'!$C$9:$R$257,15,FALSE))</f>
        <v>Same habitat required =</v>
      </c>
      <c r="M76" s="386">
        <f>IF(L76="","",VLOOKUP($B76,'C-1 On-Site WaterC'' Baseline'!$C$9:$R$257,16,FALSE))</f>
        <v>1.0114655531307903</v>
      </c>
      <c r="N76" s="320" t="str">
        <f t="shared" ref="N76:N139" si="8">C76</f>
        <v>Ditches</v>
      </c>
      <c r="O76" s="362" t="str">
        <f t="shared" si="2"/>
        <v>Medium - Medium</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Poor - Poor</v>
      </c>
      <c r="Q76" s="425">
        <f>IF(N76="","",VLOOKUP(B76,'C-1 On-Site WaterC'' Baseline'!$C$10:$AB$257,19,FALSE))</f>
        <v>0.33715518437693009</v>
      </c>
      <c r="R76" s="362" t="str">
        <f>IF(N76="","",VLOOKUP(N76,'G-7 WaterC'' Data'!$B$2:$G$8,2,FALSE))</f>
        <v>Medium</v>
      </c>
      <c r="S76" s="363">
        <f>IFERROR(VLOOKUP(R76,'G-7 WaterC'' Data'!$C$4:$D$8,2,FALSE),"")</f>
        <v>4</v>
      </c>
      <c r="T76" s="114" t="s">
        <v>329</v>
      </c>
      <c r="U76" s="363">
        <f>IFERROR(INDEX('G-7 WaterC'' Data'!$H$4:$L$8,MATCH(N76,'G-7 WaterC'' Data'!$B$4:$B$8,0),MATCH(T76,'G-7 WaterC'' Data'!$H$3:$L$3,0)),"")</f>
        <v>1</v>
      </c>
      <c r="V76" s="114" t="s">
        <v>1037</v>
      </c>
      <c r="W76" s="370" t="str">
        <f>IF(V76="","",IF(VLOOKUP(V76,'G-7 WaterC'' Data'!$AK$4:$AM$6,2,FALSE)=0,"Spatial Data Missing ⚠",VLOOKUP(V76,'G-7 WaterC'' Data'!$AK$4:$AM$6,2,FALSE)))</f>
        <v>Low Strategic Significance</v>
      </c>
      <c r="X76" s="363">
        <f>IF(V76="","",IF(VLOOKUP(V76,'G-7 WaterC'' Data'!$AK$4:$AM$6,3,FALSE)=0,"Spatial Data Missing ⚠",VLOOKUP(V76,'G-7 WaterC'' Data'!$AK$4:$AM$6,3,FALSE)))</f>
        <v>1</v>
      </c>
      <c r="Y76" s="362">
        <f>IFERROR(IF(OR(LEFT(P76,5)="Error",LEFT(O76,5)="Error ▲"),"Check Data ⚠",IF(F76&lt;S76,'G-7 WaterC'' Data'!$R$3,INDEX('G-7 WaterC'' Data'!$U$5:$Y$9,MATCH(G76,'G-7 WaterC'' Data'!$T$5:$T$9,0),MATCH(T76,'G-7 WaterC'' Data'!$U$4:$Y$4,0)))),"")</f>
        <v>1</v>
      </c>
      <c r="Z76" s="159">
        <v>0</v>
      </c>
      <c r="AA76" s="159">
        <v>0</v>
      </c>
      <c r="AB76" s="370" t="str">
        <f t="shared" si="3"/>
        <v>Standard time to target condition applied</v>
      </c>
      <c r="AC76" s="383">
        <f t="shared" si="4"/>
        <v>1</v>
      </c>
      <c r="AD76" s="422">
        <f>IFERROR(IF(AC76="Check Data ⚠","Check Data ⚠",VLOOKUP(AC76,'G-4 Temporal multipliers'!$A$4:$C$37,3,FALSE)),"")</f>
        <v>0.96499999999999997</v>
      </c>
      <c r="AE76" s="362" t="str">
        <f>IF(N76="","",VLOOKUP(N76,'G-7 WaterC'' Data'!$B$4:$G$8,5,FALSE))</f>
        <v>Medium</v>
      </c>
      <c r="AF76" s="370" t="str">
        <f t="shared" si="5"/>
        <v>Standard difficulty applied</v>
      </c>
      <c r="AG76" s="401" t="str">
        <f t="shared" si="6"/>
        <v>Medium</v>
      </c>
      <c r="AH76" s="363">
        <f t="shared" ref="AH76:AH139" si="9">IF(N76="","",VLOOKUP(AE76,Difficulty,2,FALSE))</f>
        <v>0.67</v>
      </c>
      <c r="AI76" s="122" t="s">
        <v>1126</v>
      </c>
      <c r="AJ76" s="363">
        <f>IF(AI76="","",IF(VLOOKUP(AI76,'G-7 WaterC'' Data'!$AA$4:$AB$7,2,FALSE)=0,"Spatial Data Missing ⚠",VLOOKUP(AI76,'G-7 WaterC'' Data'!$AA$4:$AB$7,2,FALSE)))</f>
        <v>1</v>
      </c>
      <c r="AK76" s="123" t="s">
        <v>1153</v>
      </c>
      <c r="AL76" s="363">
        <f>IF(AK76="","",IF(VLOOKUP(AK76,'G-7 WaterC'' Data'!$AD$4:$AE$14,2,FALSE)=0,"Spatial Data Missing ⚠",VLOOKUP(AK76,'G-7 WaterC'' Data'!$AD$4:$AE$14,2,FALSE)))</f>
        <v>1</v>
      </c>
      <c r="AM76" s="405">
        <f t="shared" si="7"/>
        <v>1.3486207375077204</v>
      </c>
      <c r="AN76" s="117"/>
      <c r="AO76" s="118"/>
      <c r="AP76" s="120" t="s">
        <v>2071</v>
      </c>
      <c r="AV76" s="30" t="str">
        <f>IFERROR(INDEX('G-7 WaterC'' Data'!$AZ$3:$AZ$7,MATCH(N76,'G-7 WaterC'' Data'!$AY$3:$AY$7,0)),"")</f>
        <v>Rivercond1</v>
      </c>
    </row>
    <row r="77" spans="2:48" ht="28.5" x14ac:dyDescent="0.2">
      <c r="B77" s="392">
        <f>'C-1 On-Site WaterC'' Baseline'!AO75</f>
        <v>71</v>
      </c>
      <c r="C77" s="382" t="str">
        <f>IF(B77="","",VLOOKUP($B77,'C-1 On-Site WaterC'' Baseline'!$C$9:$R$257,2,FALSE))</f>
        <v>Ditches</v>
      </c>
      <c r="D77" s="382">
        <f>IF(C77="","",VLOOKUP($B77,'C-1 On-Site WaterC'' Baseline'!$C$9:$R$257,3,FALSE))</f>
        <v>1.7802293593380043E-2</v>
      </c>
      <c r="E77" s="382" t="str">
        <f>IF(D77="","",VLOOKUP($B77,'C-1 On-Site WaterC'' Baseline'!$C$9:$R$257,4,FALSE))</f>
        <v>Medium</v>
      </c>
      <c r="F77" s="382">
        <f>IF(E77="","",VLOOKUP($B77,'C-1 On-Site WaterC'' Baseline'!$C$9:$R$257,5,FALSE))</f>
        <v>4</v>
      </c>
      <c r="G77" s="382" t="str">
        <f>IF(F77="","",VLOOKUP($B77,'C-1 On-Site WaterC'' Baseline'!$C$9:$R$257,6,FALSE))</f>
        <v>Poor</v>
      </c>
      <c r="H77" s="382">
        <f>IF(G77="","",VLOOKUP($B77,'C-1 On-Site WaterC'' Baseline'!$C$9:$R$257,7,FALSE))</f>
        <v>1</v>
      </c>
      <c r="I77" s="382" t="str">
        <f>IF(H77="","",VLOOKUP($B77,'C-1 On-Site WaterC'' Baseline'!$C$9:$R$257,8,FALSE))</f>
        <v>Formally identified in local strategy</v>
      </c>
      <c r="J77" s="382" t="str">
        <f>IF(I77="","",VLOOKUP($B77,'C-1 On-Site WaterC'' Baseline'!$C$9:$R$257,9,FALSE))</f>
        <v xml:space="preserve">High strategic significance </v>
      </c>
      <c r="K77" s="382">
        <f>IF(J77="","",VLOOKUP($B77,'C-1 On-Site WaterC'' Baseline'!$C$9:$R$257,10,FALSE))</f>
        <v>1.1499999999999999</v>
      </c>
      <c r="L77" s="382" t="str">
        <f>IF(B77="","",VLOOKUP($B77,'C-1 On-Site WaterC'' Baseline'!$C$9:$R$257,15,FALSE))</f>
        <v>Same habitat required =</v>
      </c>
      <c r="M77" s="386">
        <f>IF(L77="","",VLOOKUP($B77,'C-1 On-Site WaterC'' Baseline'!$C$9:$R$257,16,FALSE))</f>
        <v>6.1417912897161142E-2</v>
      </c>
      <c r="N77" s="320" t="str">
        <f t="shared" si="8"/>
        <v>Ditches</v>
      </c>
      <c r="O77" s="362" t="str">
        <f t="shared" ref="O77:O140" si="10">IF(B77="","",IF(S77&lt;F77,"Error Trading Down ▲",E77&amp;" - "&amp;R77))</f>
        <v>Medium - Medium</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Poor - Poor</v>
      </c>
      <c r="Q77" s="425">
        <f>IF(N77="","",VLOOKUP(B77,'C-1 On-Site WaterC'' Baseline'!$C$10:$AB$257,19,FALSE))</f>
        <v>1.7802293593380043E-2</v>
      </c>
      <c r="R77" s="362" t="str">
        <f>IF(N77="","",VLOOKUP(N77,'G-7 WaterC'' Data'!$B$2:$G$8,2,FALSE))</f>
        <v>Medium</v>
      </c>
      <c r="S77" s="363">
        <f>IFERROR(VLOOKUP(R77,'G-7 WaterC'' Data'!$C$4:$D$8,2,FALSE),"")</f>
        <v>4</v>
      </c>
      <c r="T77" s="114" t="s">
        <v>329</v>
      </c>
      <c r="U77" s="363">
        <f>IFERROR(INDEX('G-7 WaterC'' Data'!$H$4:$L$8,MATCH(N77,'G-7 WaterC'' Data'!$B$4:$B$8,0),MATCH(T77,'G-7 WaterC'' Data'!$H$3:$L$3,0)),"")</f>
        <v>1</v>
      </c>
      <c r="V77" s="114" t="s">
        <v>1029</v>
      </c>
      <c r="W77" s="370" t="str">
        <f>IF(V77="","",IF(VLOOKUP(V77,'G-7 WaterC'' Data'!$AK$4:$AM$6,2,FALSE)=0,"Spatial Data Missing ⚠",VLOOKUP(V77,'G-7 WaterC'' Data'!$AK$4:$AM$6,2,FALSE)))</f>
        <v xml:space="preserve">High strategic significance </v>
      </c>
      <c r="X77" s="363">
        <f>IF(V77="","",IF(VLOOKUP(V77,'G-7 WaterC'' Data'!$AK$4:$AM$6,3,FALSE)=0,"Spatial Data Missing ⚠",VLOOKUP(V77,'G-7 WaterC'' Data'!$AK$4:$AM$6,3,FALSE)))</f>
        <v>1.1499999999999999</v>
      </c>
      <c r="Y77" s="362">
        <f>IFERROR(IF(OR(LEFT(P77,5)="Error",LEFT(O77,5)="Error ▲"),"Check Data ⚠",IF(F77&lt;S77,'G-7 WaterC'' Data'!$R$3,INDEX('G-7 WaterC'' Data'!$U$5:$Y$9,MATCH(G77,'G-7 WaterC'' Data'!$T$5:$T$9,0),MATCH(T77,'G-7 WaterC'' Data'!$U$4:$Y$4,0)))),"")</f>
        <v>1</v>
      </c>
      <c r="Z77" s="159">
        <v>0</v>
      </c>
      <c r="AA77" s="159">
        <v>0</v>
      </c>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Standard time to target condition applied</v>
      </c>
      <c r="AC77" s="383">
        <f t="shared" ref="AC77:AC140" si="12">IF(AB77="Error -both advance and delayed habitat creation ▲","Check Data ⚠",IF(AB77="Check Data ⚠","Check Data ⚠",IF(Y77="","",IF(Z77="30+",0,IF(AA77="30+","30+ ⚠",IF(Y77+AA77&gt;30,"30+ ⚠",IF(Y77+AA77-Z77&gt;0,Y77+AA77-Z77,IF(Y77-Z77&lt;0,0,Y77+AA77-Z77))))))))</f>
        <v>1</v>
      </c>
      <c r="AD77" s="422">
        <f>IFERROR(IF(AC77="Check Data ⚠","Check Data ⚠",VLOOKUP(AC77,'G-4 Temporal multipliers'!$A$4:$C$37,3,FALSE)),"")</f>
        <v>0.96499999999999997</v>
      </c>
      <c r="AE77" s="362" t="str">
        <f>IF(N77="","",VLOOKUP(N77,'G-7 WaterC'' Data'!$B$4:$G$8,5,FALSE))</f>
        <v>Medium</v>
      </c>
      <c r="AF77" s="370" t="str">
        <f t="shared" ref="AF77:AF140" si="13">IF(N77="","",IF(AC77="Check Data ⚠","Check Data ⚠",IF(T77="","",IF($AB77="Check details - Is there evidence that habitat has reached target condition? ⚠","Low Difficulty - only applicable if all habitat created before losses ⚠","Standard difficulty applied"))))</f>
        <v>Standard difficulty applied</v>
      </c>
      <c r="AG77" s="401" t="str">
        <f t="shared" ref="AG77:AG140" si="14">(IF(AND(AF77="Standard difficulty applied",Y77&gt;Z77),AE77,IF(AND(AF77="Low Difficulty - only applicable if all habitat created before losses ⚠",Z77&gt;=Y77),"Low",AE77)))</f>
        <v>Medium</v>
      </c>
      <c r="AH77" s="363">
        <f t="shared" si="9"/>
        <v>0.67</v>
      </c>
      <c r="AI77" s="122" t="s">
        <v>1126</v>
      </c>
      <c r="AJ77" s="363">
        <f>IF(AI77="","",IF(VLOOKUP(AI77,'G-7 WaterC'' Data'!$AA$4:$AB$7,2,FALSE)=0,"Spatial Data Missing ⚠",VLOOKUP(AI77,'G-7 WaterC'' Data'!$AA$4:$AB$7,2,FALSE)))</f>
        <v>1</v>
      </c>
      <c r="AK77" s="123" t="s">
        <v>1153</v>
      </c>
      <c r="AL77" s="363">
        <f>IF(AK77="","",IF(VLOOKUP(AK77,'G-7 WaterC'' Data'!$AD$4:$AE$14,2,FALSE)=0,"Spatial Data Missing ⚠",VLOOKUP(AK77,'G-7 WaterC'' Data'!$AD$4:$AE$14,2,FALSE)))</f>
        <v>1</v>
      </c>
      <c r="AM77" s="405">
        <f t="shared" si="7"/>
        <v>8.1890550529548189E-2</v>
      </c>
      <c r="AN77" s="117"/>
      <c r="AO77" s="118"/>
      <c r="AP77" s="120" t="s">
        <v>2072</v>
      </c>
      <c r="AV77" s="30" t="str">
        <f>IFERROR(INDEX('G-7 WaterC'' Data'!$AZ$3:$AZ$7,MATCH(N77,'G-7 WaterC'' Data'!$AY$3:$AY$7,0)),"")</f>
        <v>Rivercond1</v>
      </c>
    </row>
    <row r="78" spans="2:48" ht="28.5" x14ac:dyDescent="0.2">
      <c r="B78" s="392">
        <f>'C-1 On-Site WaterC'' Baseline'!AO76</f>
        <v>72</v>
      </c>
      <c r="C78" s="382" t="str">
        <f>IF(B78="","",VLOOKUP($B78,'C-1 On-Site WaterC'' Baseline'!$C$9:$R$257,2,FALSE))</f>
        <v>Ditches</v>
      </c>
      <c r="D78" s="382">
        <f>IF(C78="","",VLOOKUP($B78,'C-1 On-Site WaterC'' Baseline'!$C$9:$R$257,3,FALSE))</f>
        <v>0.87727190707554381</v>
      </c>
      <c r="E78" s="382" t="str">
        <f>IF(D78="","",VLOOKUP($B78,'C-1 On-Site WaterC'' Baseline'!$C$9:$R$257,4,FALSE))</f>
        <v>Medium</v>
      </c>
      <c r="F78" s="382">
        <f>IF(E78="","",VLOOKUP($B78,'C-1 On-Site WaterC'' Baseline'!$C$9:$R$257,5,FALSE))</f>
        <v>4</v>
      </c>
      <c r="G78" s="382" t="str">
        <f>IF(F78="","",VLOOKUP($B78,'C-1 On-Site WaterC'' Baseline'!$C$9:$R$257,6,FALSE))</f>
        <v>Poor</v>
      </c>
      <c r="H78" s="382">
        <f>IF(G78="","",VLOOKUP($B78,'C-1 On-Site WaterC'' Baseline'!$C$9:$R$257,7,FALSE))</f>
        <v>1</v>
      </c>
      <c r="I78" s="382" t="str">
        <f>IF(H78="","",VLOOKUP($B78,'C-1 On-Site WaterC'' Baseline'!$C$9:$R$257,8,FALSE))</f>
        <v>Area/compensation not in local strategy/ no local strategy</v>
      </c>
      <c r="J78" s="382" t="str">
        <f>IF(I78="","",VLOOKUP($B78,'C-1 On-Site WaterC'' Baseline'!$C$9:$R$257,9,FALSE))</f>
        <v>Low Strategic Significance</v>
      </c>
      <c r="K78" s="382">
        <f>IF(J78="","",VLOOKUP($B78,'C-1 On-Site WaterC'' Baseline'!$C$9:$R$257,10,FALSE))</f>
        <v>1</v>
      </c>
      <c r="L78" s="382" t="str">
        <f>IF(B78="","",VLOOKUP($B78,'C-1 On-Site WaterC'' Baseline'!$C$9:$R$257,15,FALSE))</f>
        <v>Same habitat required =</v>
      </c>
      <c r="M78" s="386">
        <f>IF(L78="","",VLOOKUP($B78,'C-1 On-Site WaterC'' Baseline'!$C$9:$R$257,16,FALSE))</f>
        <v>2.6318157212266313</v>
      </c>
      <c r="N78" s="320" t="str">
        <f t="shared" si="8"/>
        <v>Ditches</v>
      </c>
      <c r="O78" s="362" t="str">
        <f t="shared" si="10"/>
        <v>Medium - Medium</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Poor - Poor</v>
      </c>
      <c r="Q78" s="425">
        <f>IF(N78="","",VLOOKUP(B78,'C-1 On-Site WaterC'' Baseline'!$C$10:$AB$257,19,FALSE))</f>
        <v>0.87727190707554381</v>
      </c>
      <c r="R78" s="362" t="str">
        <f>IF(N78="","",VLOOKUP(N78,'G-7 WaterC'' Data'!$B$2:$G$8,2,FALSE))</f>
        <v>Medium</v>
      </c>
      <c r="S78" s="363">
        <f>IFERROR(VLOOKUP(R78,'G-7 WaterC'' Data'!$C$4:$D$8,2,FALSE),"")</f>
        <v>4</v>
      </c>
      <c r="T78" s="114" t="s">
        <v>329</v>
      </c>
      <c r="U78" s="363">
        <f>IFERROR(INDEX('G-7 WaterC'' Data'!$H$4:$L$8,MATCH(N78,'G-7 WaterC'' Data'!$B$4:$B$8,0),MATCH(T78,'G-7 WaterC'' Data'!$H$3:$L$3,0)),"")</f>
        <v>1</v>
      </c>
      <c r="V78" s="114" t="s">
        <v>1037</v>
      </c>
      <c r="W78" s="370" t="str">
        <f>IF(V78="","",IF(VLOOKUP(V78,'G-7 WaterC'' Data'!$AK$4:$AM$6,2,FALSE)=0,"Spatial Data Missing ⚠",VLOOKUP(V78,'G-7 WaterC'' Data'!$AK$4:$AM$6,2,FALSE)))</f>
        <v>Low Strategic Significance</v>
      </c>
      <c r="X78" s="363">
        <f>IF(V78="","",IF(VLOOKUP(V78,'G-7 WaterC'' Data'!$AK$4:$AM$6,3,FALSE)=0,"Spatial Data Missing ⚠",VLOOKUP(V78,'G-7 WaterC'' Data'!$AK$4:$AM$6,3,FALSE)))</f>
        <v>1</v>
      </c>
      <c r="Y78" s="362">
        <f>IFERROR(IF(OR(LEFT(P78,5)="Error",LEFT(O78,5)="Error ▲"),"Check Data ⚠",IF(F78&lt;S78,'G-7 WaterC'' Data'!$R$3,INDEX('G-7 WaterC'' Data'!$U$5:$Y$9,MATCH(G78,'G-7 WaterC'' Data'!$T$5:$T$9,0),MATCH(T78,'G-7 WaterC'' Data'!$U$4:$Y$4,0)))),"")</f>
        <v>1</v>
      </c>
      <c r="Z78" s="159">
        <v>0</v>
      </c>
      <c r="AA78" s="159">
        <v>0</v>
      </c>
      <c r="AB78" s="370" t="str">
        <f t="shared" si="11"/>
        <v>Standard time to target condition applied</v>
      </c>
      <c r="AC78" s="383">
        <f t="shared" si="12"/>
        <v>1</v>
      </c>
      <c r="AD78" s="422">
        <f>IFERROR(IF(AC78="Check Data ⚠","Check Data ⚠",VLOOKUP(AC78,'G-4 Temporal multipliers'!$A$4:$C$37,3,FALSE)),"")</f>
        <v>0.96499999999999997</v>
      </c>
      <c r="AE78" s="362" t="str">
        <f>IF(N78="","",VLOOKUP(N78,'G-7 WaterC'' Data'!$B$4:$G$8,5,FALSE))</f>
        <v>Medium</v>
      </c>
      <c r="AF78" s="370" t="str">
        <f t="shared" si="13"/>
        <v>Standard difficulty applied</v>
      </c>
      <c r="AG78" s="401" t="str">
        <f t="shared" si="14"/>
        <v>Medium</v>
      </c>
      <c r="AH78" s="363">
        <f t="shared" si="9"/>
        <v>0.67</v>
      </c>
      <c r="AI78" s="122" t="s">
        <v>1126</v>
      </c>
      <c r="AJ78" s="363">
        <f>IF(AI78="","",IF(VLOOKUP(AI78,'G-7 WaterC'' Data'!$AA$4:$AB$7,2,FALSE)=0,"Spatial Data Missing ⚠",VLOOKUP(AI78,'G-7 WaterC'' Data'!$AA$4:$AB$7,2,FALSE)))</f>
        <v>1</v>
      </c>
      <c r="AK78" s="123" t="s">
        <v>1153</v>
      </c>
      <c r="AL78" s="363">
        <f>IF(AK78="","",IF(VLOOKUP(AK78,'G-7 WaterC'' Data'!$AD$4:$AE$14,2,FALSE)=0,"Spatial Data Missing ⚠",VLOOKUP(AK78,'G-7 WaterC'' Data'!$AD$4:$AE$14,2,FALSE)))</f>
        <v>1</v>
      </c>
      <c r="AM78" s="405">
        <f t="shared" ref="AM78:AM141" si="15">IFERROR(IF(C78="","",IF(Q78&gt;D78,((((Q78*S78*U78)-(D78*F78*H78))*(AH78*AD78))+(D78*F78*H78))*(AL78*X78*AJ78),((((Q78*S78*U78)-(Q78*F78*H78))*(AH78*AD78))+(Q78*F78*H78))*(AL78*X78*AJ78))),"")</f>
        <v>3.5090876283021752</v>
      </c>
      <c r="AN78" s="117"/>
      <c r="AO78" s="118"/>
      <c r="AP78" s="120" t="s">
        <v>2073</v>
      </c>
      <c r="AV78" s="30" t="str">
        <f>IFERROR(INDEX('G-7 WaterC'' Data'!$AZ$3:$AZ$7,MATCH(N78,'G-7 WaterC'' Data'!$AY$3:$AY$7,0)),"")</f>
        <v>Rivercond1</v>
      </c>
    </row>
    <row r="79" spans="2:48" ht="28.5" x14ac:dyDescent="0.2">
      <c r="B79" s="392">
        <f>'C-1 On-Site WaterC'' Baseline'!AO77</f>
        <v>73</v>
      </c>
      <c r="C79" s="382" t="str">
        <f>IF(B79="","",VLOOKUP($B79,'C-1 On-Site WaterC'' Baseline'!$C$9:$R$257,2,FALSE))</f>
        <v>Ditches</v>
      </c>
      <c r="D79" s="382">
        <f>IF(C79="","",VLOOKUP($B79,'C-1 On-Site WaterC'' Baseline'!$C$9:$R$257,3,FALSE))</f>
        <v>0.1187931171146637</v>
      </c>
      <c r="E79" s="382" t="str">
        <f>IF(D79="","",VLOOKUP($B79,'C-1 On-Site WaterC'' Baseline'!$C$9:$R$257,4,FALSE))</f>
        <v>Medium</v>
      </c>
      <c r="F79" s="382">
        <f>IF(E79="","",VLOOKUP($B79,'C-1 On-Site WaterC'' Baseline'!$C$9:$R$257,5,FALSE))</f>
        <v>4</v>
      </c>
      <c r="G79" s="382" t="str">
        <f>IF(F79="","",VLOOKUP($B79,'C-1 On-Site WaterC'' Baseline'!$C$9:$R$257,6,FALSE))</f>
        <v>Poor</v>
      </c>
      <c r="H79" s="382">
        <f>IF(G79="","",VLOOKUP($B79,'C-1 On-Site WaterC'' Baseline'!$C$9:$R$257,7,FALSE))</f>
        <v>1</v>
      </c>
      <c r="I79" s="382" t="str">
        <f>IF(H79="","",VLOOKUP($B79,'C-1 On-Site WaterC'' Baseline'!$C$9:$R$257,8,FALSE))</f>
        <v>Area/compensation not in local strategy/ no local strategy</v>
      </c>
      <c r="J79" s="382" t="str">
        <f>IF(I79="","",VLOOKUP($B79,'C-1 On-Site WaterC'' Baseline'!$C$9:$R$257,9,FALSE))</f>
        <v>Low Strategic Significance</v>
      </c>
      <c r="K79" s="382">
        <f>IF(J79="","",VLOOKUP($B79,'C-1 On-Site WaterC'' Baseline'!$C$9:$R$257,10,FALSE))</f>
        <v>1</v>
      </c>
      <c r="L79" s="382" t="str">
        <f>IF(B79="","",VLOOKUP($B79,'C-1 On-Site WaterC'' Baseline'!$C$9:$R$257,15,FALSE))</f>
        <v>Same habitat required =</v>
      </c>
      <c r="M79" s="386">
        <f>IF(L79="","",VLOOKUP($B79,'C-1 On-Site WaterC'' Baseline'!$C$9:$R$257,16,FALSE))</f>
        <v>0.35637935134399112</v>
      </c>
      <c r="N79" s="320" t="str">
        <f t="shared" si="8"/>
        <v>Ditches</v>
      </c>
      <c r="O79" s="362" t="str">
        <f t="shared" si="10"/>
        <v>Medium - Medium</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Poor - Poor</v>
      </c>
      <c r="Q79" s="425">
        <f>IF(N79="","",VLOOKUP(B79,'C-1 On-Site WaterC'' Baseline'!$C$10:$AB$257,19,FALSE))</f>
        <v>0.1187931171146637</v>
      </c>
      <c r="R79" s="362" t="str">
        <f>IF(N79="","",VLOOKUP(N79,'G-7 WaterC'' Data'!$B$2:$G$8,2,FALSE))</f>
        <v>Medium</v>
      </c>
      <c r="S79" s="363">
        <f>IFERROR(VLOOKUP(R79,'G-7 WaterC'' Data'!$C$4:$D$8,2,FALSE),"")</f>
        <v>4</v>
      </c>
      <c r="T79" s="114" t="s">
        <v>329</v>
      </c>
      <c r="U79" s="363">
        <f>IFERROR(INDEX('G-7 WaterC'' Data'!$H$4:$L$8,MATCH(N79,'G-7 WaterC'' Data'!$B$4:$B$8,0),MATCH(T79,'G-7 WaterC'' Data'!$H$3:$L$3,0)),"")</f>
        <v>1</v>
      </c>
      <c r="V79" s="114" t="s">
        <v>1037</v>
      </c>
      <c r="W79" s="370" t="str">
        <f>IF(V79="","",IF(VLOOKUP(V79,'G-7 WaterC'' Data'!$AK$4:$AM$6,2,FALSE)=0,"Spatial Data Missing ⚠",VLOOKUP(V79,'G-7 WaterC'' Data'!$AK$4:$AM$6,2,FALSE)))</f>
        <v>Low Strategic Significance</v>
      </c>
      <c r="X79" s="363">
        <f>IF(V79="","",IF(VLOOKUP(V79,'G-7 WaterC'' Data'!$AK$4:$AM$6,3,FALSE)=0,"Spatial Data Missing ⚠",VLOOKUP(V79,'G-7 WaterC'' Data'!$AK$4:$AM$6,3,FALSE)))</f>
        <v>1</v>
      </c>
      <c r="Y79" s="362">
        <f>IFERROR(IF(OR(LEFT(P79,5)="Error",LEFT(O79,5)="Error ▲"),"Check Data ⚠",IF(F79&lt;S79,'G-7 WaterC'' Data'!$R$3,INDEX('G-7 WaterC'' Data'!$U$5:$Y$9,MATCH(G79,'G-7 WaterC'' Data'!$T$5:$T$9,0),MATCH(T79,'G-7 WaterC'' Data'!$U$4:$Y$4,0)))),"")</f>
        <v>1</v>
      </c>
      <c r="Z79" s="159">
        <v>0</v>
      </c>
      <c r="AA79" s="159">
        <v>0</v>
      </c>
      <c r="AB79" s="370" t="str">
        <f t="shared" si="11"/>
        <v>Standard time to target condition applied</v>
      </c>
      <c r="AC79" s="383">
        <f t="shared" si="12"/>
        <v>1</v>
      </c>
      <c r="AD79" s="422">
        <f>IFERROR(IF(AC79="Check Data ⚠","Check Data ⚠",VLOOKUP(AC79,'G-4 Temporal multipliers'!$A$4:$C$37,3,FALSE)),"")</f>
        <v>0.96499999999999997</v>
      </c>
      <c r="AE79" s="362" t="str">
        <f>IF(N79="","",VLOOKUP(N79,'G-7 WaterC'' Data'!$B$4:$G$8,5,FALSE))</f>
        <v>Medium</v>
      </c>
      <c r="AF79" s="370" t="str">
        <f t="shared" si="13"/>
        <v>Standard difficulty applied</v>
      </c>
      <c r="AG79" s="401" t="str">
        <f t="shared" si="14"/>
        <v>Medium</v>
      </c>
      <c r="AH79" s="363">
        <f t="shared" si="9"/>
        <v>0.67</v>
      </c>
      <c r="AI79" s="122" t="s">
        <v>1126</v>
      </c>
      <c r="AJ79" s="363">
        <f>IF(AI79="","",IF(VLOOKUP(AI79,'G-7 WaterC'' Data'!$AA$4:$AB$7,2,FALSE)=0,"Spatial Data Missing ⚠",VLOOKUP(AI79,'G-7 WaterC'' Data'!$AA$4:$AB$7,2,FALSE)))</f>
        <v>1</v>
      </c>
      <c r="AK79" s="123" t="s">
        <v>1142</v>
      </c>
      <c r="AL79" s="363">
        <f>IF(AK79="","",IF(VLOOKUP(AK79,'G-7 WaterC'' Data'!$AD$4:$AE$14,2,FALSE)=0,"Spatial Data Missing ⚠",VLOOKUP(AK79,'G-7 WaterC'' Data'!$AD$4:$AE$14,2,FALSE)))</f>
        <v>0.87</v>
      </c>
      <c r="AM79" s="405">
        <f t="shared" si="15"/>
        <v>0.41340004755902965</v>
      </c>
      <c r="AN79" s="117"/>
      <c r="AO79" s="118"/>
      <c r="AP79" s="120" t="s">
        <v>2074</v>
      </c>
      <c r="AV79" s="30" t="str">
        <f>IFERROR(INDEX('G-7 WaterC'' Data'!$AZ$3:$AZ$7,MATCH(N79,'G-7 WaterC'' Data'!$AY$3:$AY$7,0)),"")</f>
        <v>Rivercond1</v>
      </c>
    </row>
    <row r="80" spans="2:48" ht="28.5" x14ac:dyDescent="0.2">
      <c r="B80" s="392">
        <f>'C-1 On-Site WaterC'' Baseline'!AO78</f>
        <v>74</v>
      </c>
      <c r="C80" s="382" t="str">
        <f>IF(B80="","",VLOOKUP($B80,'C-1 On-Site WaterC'' Baseline'!$C$9:$R$257,2,FALSE))</f>
        <v>Ditches</v>
      </c>
      <c r="D80" s="382">
        <f>IF(C80="","",VLOOKUP($B80,'C-1 On-Site WaterC'' Baseline'!$C$9:$R$257,3,FALSE))</f>
        <v>0.31368463809220193</v>
      </c>
      <c r="E80" s="382" t="str">
        <f>IF(D80="","",VLOOKUP($B80,'C-1 On-Site WaterC'' Baseline'!$C$9:$R$257,4,FALSE))</f>
        <v>Medium</v>
      </c>
      <c r="F80" s="382">
        <f>IF(E80="","",VLOOKUP($B80,'C-1 On-Site WaterC'' Baseline'!$C$9:$R$257,5,FALSE))</f>
        <v>4</v>
      </c>
      <c r="G80" s="382" t="str">
        <f>IF(F80="","",VLOOKUP($B80,'C-1 On-Site WaterC'' Baseline'!$C$9:$R$257,6,FALSE))</f>
        <v>Poor</v>
      </c>
      <c r="H80" s="382">
        <f>IF(G80="","",VLOOKUP($B80,'C-1 On-Site WaterC'' Baseline'!$C$9:$R$257,7,FALSE))</f>
        <v>1</v>
      </c>
      <c r="I80" s="382" t="str">
        <f>IF(H80="","",VLOOKUP($B80,'C-1 On-Site WaterC'' Baseline'!$C$9:$R$257,8,FALSE))</f>
        <v>Area/compensation not in local strategy/ no local strategy</v>
      </c>
      <c r="J80" s="382" t="str">
        <f>IF(I80="","",VLOOKUP($B80,'C-1 On-Site WaterC'' Baseline'!$C$9:$R$257,9,FALSE))</f>
        <v>Low Strategic Significance</v>
      </c>
      <c r="K80" s="382">
        <f>IF(J80="","",VLOOKUP($B80,'C-1 On-Site WaterC'' Baseline'!$C$9:$R$257,10,FALSE))</f>
        <v>1</v>
      </c>
      <c r="L80" s="382" t="str">
        <f>IF(B80="","",VLOOKUP($B80,'C-1 On-Site WaterC'' Baseline'!$C$9:$R$257,15,FALSE))</f>
        <v>Same habitat required =</v>
      </c>
      <c r="M80" s="386">
        <f>IF(L80="","",VLOOKUP($B80,'C-1 On-Site WaterC'' Baseline'!$C$9:$R$257,16,FALSE))</f>
        <v>0.94105391427660579</v>
      </c>
      <c r="N80" s="320" t="str">
        <f t="shared" si="8"/>
        <v>Ditches</v>
      </c>
      <c r="O80" s="362" t="str">
        <f t="shared" si="10"/>
        <v>Medium - Medium</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Poor - Poor</v>
      </c>
      <c r="Q80" s="425">
        <f>IF(N80="","",VLOOKUP(B80,'C-1 On-Site WaterC'' Baseline'!$C$10:$AB$257,19,FALSE))</f>
        <v>0.31368463809220193</v>
      </c>
      <c r="R80" s="362" t="str">
        <f>IF(N80="","",VLOOKUP(N80,'G-7 WaterC'' Data'!$B$2:$G$8,2,FALSE))</f>
        <v>Medium</v>
      </c>
      <c r="S80" s="363">
        <f>IFERROR(VLOOKUP(R80,'G-7 WaterC'' Data'!$C$4:$D$8,2,FALSE),"")</f>
        <v>4</v>
      </c>
      <c r="T80" s="114" t="s">
        <v>329</v>
      </c>
      <c r="U80" s="363">
        <f>IFERROR(INDEX('G-7 WaterC'' Data'!$H$4:$L$8,MATCH(N80,'G-7 WaterC'' Data'!$B$4:$B$8,0),MATCH(T80,'G-7 WaterC'' Data'!$H$3:$L$3,0)),"")</f>
        <v>1</v>
      </c>
      <c r="V80" s="114" t="s">
        <v>1037</v>
      </c>
      <c r="W80" s="370" t="str">
        <f>IF(V80="","",IF(VLOOKUP(V80,'G-7 WaterC'' Data'!$AK$4:$AM$6,2,FALSE)=0,"Spatial Data Missing ⚠",VLOOKUP(V80,'G-7 WaterC'' Data'!$AK$4:$AM$6,2,FALSE)))</f>
        <v>Low Strategic Significance</v>
      </c>
      <c r="X80" s="363">
        <f>IF(V80="","",IF(VLOOKUP(V80,'G-7 WaterC'' Data'!$AK$4:$AM$6,3,FALSE)=0,"Spatial Data Missing ⚠",VLOOKUP(V80,'G-7 WaterC'' Data'!$AK$4:$AM$6,3,FALSE)))</f>
        <v>1</v>
      </c>
      <c r="Y80" s="362">
        <f>IFERROR(IF(OR(LEFT(P80,5)="Error",LEFT(O80,5)="Error ▲"),"Check Data ⚠",IF(F80&lt;S80,'G-7 WaterC'' Data'!$R$3,INDEX('G-7 WaterC'' Data'!$U$5:$Y$9,MATCH(G80,'G-7 WaterC'' Data'!$T$5:$T$9,0),MATCH(T80,'G-7 WaterC'' Data'!$U$4:$Y$4,0)))),"")</f>
        <v>1</v>
      </c>
      <c r="Z80" s="159">
        <v>0</v>
      </c>
      <c r="AA80" s="159">
        <v>0</v>
      </c>
      <c r="AB80" s="370" t="str">
        <f t="shared" si="11"/>
        <v>Standard time to target condition applied</v>
      </c>
      <c r="AC80" s="383">
        <f t="shared" si="12"/>
        <v>1</v>
      </c>
      <c r="AD80" s="422">
        <f>IFERROR(IF(AC80="Check Data ⚠","Check Data ⚠",VLOOKUP(AC80,'G-4 Temporal multipliers'!$A$4:$C$37,3,FALSE)),"")</f>
        <v>0.96499999999999997</v>
      </c>
      <c r="AE80" s="362" t="str">
        <f>IF(N80="","",VLOOKUP(N80,'G-7 WaterC'' Data'!$B$4:$G$8,5,FALSE))</f>
        <v>Medium</v>
      </c>
      <c r="AF80" s="370" t="str">
        <f t="shared" si="13"/>
        <v>Standard difficulty applied</v>
      </c>
      <c r="AG80" s="401" t="str">
        <f t="shared" si="14"/>
        <v>Medium</v>
      </c>
      <c r="AH80" s="363">
        <f t="shared" si="9"/>
        <v>0.67</v>
      </c>
      <c r="AI80" s="122" t="s">
        <v>1126</v>
      </c>
      <c r="AJ80" s="363">
        <f>IF(AI80="","",IF(VLOOKUP(AI80,'G-7 WaterC'' Data'!$AA$4:$AB$7,2,FALSE)=0,"Spatial Data Missing ⚠",VLOOKUP(AI80,'G-7 WaterC'' Data'!$AA$4:$AB$7,2,FALSE)))</f>
        <v>1</v>
      </c>
      <c r="AK80" s="123" t="s">
        <v>1153</v>
      </c>
      <c r="AL80" s="363">
        <f>IF(AK80="","",IF(VLOOKUP(AK80,'G-7 WaterC'' Data'!$AD$4:$AE$14,2,FALSE)=0,"Spatial Data Missing ⚠",VLOOKUP(AK80,'G-7 WaterC'' Data'!$AD$4:$AE$14,2,FALSE)))</f>
        <v>1</v>
      </c>
      <c r="AM80" s="405">
        <f t="shared" si="15"/>
        <v>1.2547385523688077</v>
      </c>
      <c r="AN80" s="117"/>
      <c r="AO80" s="118"/>
      <c r="AP80" s="120" t="s">
        <v>2075</v>
      </c>
      <c r="AV80" s="30" t="str">
        <f>IFERROR(INDEX('G-7 WaterC'' Data'!$AZ$3:$AZ$7,MATCH(N80,'G-7 WaterC'' Data'!$AY$3:$AY$7,0)),"")</f>
        <v>Rivercond1</v>
      </c>
    </row>
    <row r="81" spans="2:48" ht="28.5" x14ac:dyDescent="0.2">
      <c r="B81" s="392">
        <f>'C-1 On-Site WaterC'' Baseline'!AO79</f>
        <v>75</v>
      </c>
      <c r="C81" s="382" t="str">
        <f>IF(B81="","",VLOOKUP($B81,'C-1 On-Site WaterC'' Baseline'!$C$9:$R$257,2,FALSE))</f>
        <v>Ditches</v>
      </c>
      <c r="D81" s="382">
        <f>IF(C81="","",VLOOKUP($B81,'C-1 On-Site WaterC'' Baseline'!$C$9:$R$257,3,FALSE))</f>
        <v>0.82912201171457767</v>
      </c>
      <c r="E81" s="382" t="str">
        <f>IF(D81="","",VLOOKUP($B81,'C-1 On-Site WaterC'' Baseline'!$C$9:$R$257,4,FALSE))</f>
        <v>Medium</v>
      </c>
      <c r="F81" s="382">
        <f>IF(E81="","",VLOOKUP($B81,'C-1 On-Site WaterC'' Baseline'!$C$9:$R$257,5,FALSE))</f>
        <v>4</v>
      </c>
      <c r="G81" s="382" t="str">
        <f>IF(F81="","",VLOOKUP($B81,'C-1 On-Site WaterC'' Baseline'!$C$9:$R$257,6,FALSE))</f>
        <v>Poor</v>
      </c>
      <c r="H81" s="382">
        <f>IF(G81="","",VLOOKUP($B81,'C-1 On-Site WaterC'' Baseline'!$C$9:$R$257,7,FALSE))</f>
        <v>1</v>
      </c>
      <c r="I81" s="382" t="str">
        <f>IF(H81="","",VLOOKUP($B81,'C-1 On-Site WaterC'' Baseline'!$C$9:$R$257,8,FALSE))</f>
        <v>Area/compensation not in local strategy/ no local strategy</v>
      </c>
      <c r="J81" s="382" t="str">
        <f>IF(I81="","",VLOOKUP($B81,'C-1 On-Site WaterC'' Baseline'!$C$9:$R$257,9,FALSE))</f>
        <v>Low Strategic Significance</v>
      </c>
      <c r="K81" s="382">
        <f>IF(J81="","",VLOOKUP($B81,'C-1 On-Site WaterC'' Baseline'!$C$9:$R$257,10,FALSE))</f>
        <v>1</v>
      </c>
      <c r="L81" s="382" t="str">
        <f>IF(B81="","",VLOOKUP($B81,'C-1 On-Site WaterC'' Baseline'!$C$9:$R$257,15,FALSE))</f>
        <v>Same habitat required =</v>
      </c>
      <c r="M81" s="386">
        <f>IF(L81="","",VLOOKUP($B81,'C-1 On-Site WaterC'' Baseline'!$C$9:$R$257,16,FALSE))</f>
        <v>2.487366035143733</v>
      </c>
      <c r="N81" s="320" t="str">
        <f t="shared" si="8"/>
        <v>Ditches</v>
      </c>
      <c r="O81" s="362" t="str">
        <f t="shared" si="10"/>
        <v>Medium - Medium</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Poor - Poor</v>
      </c>
      <c r="Q81" s="425">
        <f>IF(N81="","",VLOOKUP(B81,'C-1 On-Site WaterC'' Baseline'!$C$10:$AB$257,19,FALSE))</f>
        <v>0.82912201171457767</v>
      </c>
      <c r="R81" s="362" t="str">
        <f>IF(N81="","",VLOOKUP(N81,'G-7 WaterC'' Data'!$B$2:$G$8,2,FALSE))</f>
        <v>Medium</v>
      </c>
      <c r="S81" s="363">
        <f>IFERROR(VLOOKUP(R81,'G-7 WaterC'' Data'!$C$4:$D$8,2,FALSE),"")</f>
        <v>4</v>
      </c>
      <c r="T81" s="114" t="s">
        <v>329</v>
      </c>
      <c r="U81" s="363">
        <f>IFERROR(INDEX('G-7 WaterC'' Data'!$H$4:$L$8,MATCH(N81,'G-7 WaterC'' Data'!$B$4:$B$8,0),MATCH(T81,'G-7 WaterC'' Data'!$H$3:$L$3,0)),"")</f>
        <v>1</v>
      </c>
      <c r="V81" s="114" t="s">
        <v>1037</v>
      </c>
      <c r="W81" s="370" t="str">
        <f>IF(V81="","",IF(VLOOKUP(V81,'G-7 WaterC'' Data'!$AK$4:$AM$6,2,FALSE)=0,"Spatial Data Missing ⚠",VLOOKUP(V81,'G-7 WaterC'' Data'!$AK$4:$AM$6,2,FALSE)))</f>
        <v>Low Strategic Significance</v>
      </c>
      <c r="X81" s="363">
        <f>IF(V81="","",IF(VLOOKUP(V81,'G-7 WaterC'' Data'!$AK$4:$AM$6,3,FALSE)=0,"Spatial Data Missing ⚠",VLOOKUP(V81,'G-7 WaterC'' Data'!$AK$4:$AM$6,3,FALSE)))</f>
        <v>1</v>
      </c>
      <c r="Y81" s="362">
        <f>IFERROR(IF(OR(LEFT(P81,5)="Error",LEFT(O81,5)="Error ▲"),"Check Data ⚠",IF(F81&lt;S81,'G-7 WaterC'' Data'!$R$3,INDEX('G-7 WaterC'' Data'!$U$5:$Y$9,MATCH(G81,'G-7 WaterC'' Data'!$T$5:$T$9,0),MATCH(T81,'G-7 WaterC'' Data'!$U$4:$Y$4,0)))),"")</f>
        <v>1</v>
      </c>
      <c r="Z81" s="159">
        <v>0</v>
      </c>
      <c r="AA81" s="159">
        <v>0</v>
      </c>
      <c r="AB81" s="370" t="str">
        <f t="shared" si="11"/>
        <v>Standard time to target condition applied</v>
      </c>
      <c r="AC81" s="383">
        <f t="shared" si="12"/>
        <v>1</v>
      </c>
      <c r="AD81" s="422">
        <f>IFERROR(IF(AC81="Check Data ⚠","Check Data ⚠",VLOOKUP(AC81,'G-4 Temporal multipliers'!$A$4:$C$37,3,FALSE)),"")</f>
        <v>0.96499999999999997</v>
      </c>
      <c r="AE81" s="362" t="str">
        <f>IF(N81="","",VLOOKUP(N81,'G-7 WaterC'' Data'!$B$4:$G$8,5,FALSE))</f>
        <v>Medium</v>
      </c>
      <c r="AF81" s="370" t="str">
        <f t="shared" si="13"/>
        <v>Standard difficulty applied</v>
      </c>
      <c r="AG81" s="401" t="str">
        <f t="shared" si="14"/>
        <v>Medium</v>
      </c>
      <c r="AH81" s="363">
        <f t="shared" si="9"/>
        <v>0.67</v>
      </c>
      <c r="AI81" s="122" t="s">
        <v>1126</v>
      </c>
      <c r="AJ81" s="363">
        <f>IF(AI81="","",IF(VLOOKUP(AI81,'G-7 WaterC'' Data'!$AA$4:$AB$7,2,FALSE)=0,"Spatial Data Missing ⚠",VLOOKUP(AI81,'G-7 WaterC'' Data'!$AA$4:$AB$7,2,FALSE)))</f>
        <v>1</v>
      </c>
      <c r="AK81" s="123" t="s">
        <v>1153</v>
      </c>
      <c r="AL81" s="363">
        <f>IF(AK81="","",IF(VLOOKUP(AK81,'G-7 WaterC'' Data'!$AD$4:$AE$14,2,FALSE)=0,"Spatial Data Missing ⚠",VLOOKUP(AK81,'G-7 WaterC'' Data'!$AD$4:$AE$14,2,FALSE)))</f>
        <v>1</v>
      </c>
      <c r="AM81" s="405">
        <f t="shared" si="15"/>
        <v>3.3164880468583107</v>
      </c>
      <c r="AN81" s="117"/>
      <c r="AO81" s="118"/>
      <c r="AP81" s="120" t="s">
        <v>2076</v>
      </c>
      <c r="AV81" s="30" t="str">
        <f>IFERROR(INDEX('G-7 WaterC'' Data'!$AZ$3:$AZ$7,MATCH(N81,'G-7 WaterC'' Data'!$AY$3:$AY$7,0)),"")</f>
        <v>Rivercond1</v>
      </c>
    </row>
    <row r="82" spans="2:48" ht="28.5" x14ac:dyDescent="0.2">
      <c r="B82" s="392">
        <f>'C-1 On-Site WaterC'' Baseline'!AO80</f>
        <v>76</v>
      </c>
      <c r="C82" s="382" t="str">
        <f>IF(B82="","",VLOOKUP($B82,'C-1 On-Site WaterC'' Baseline'!$C$9:$R$257,2,FALSE))</f>
        <v>Ditches</v>
      </c>
      <c r="D82" s="382">
        <f>IF(C82="","",VLOOKUP($B82,'C-1 On-Site WaterC'' Baseline'!$C$9:$R$257,3,FALSE))</f>
        <v>0.39201509929126771</v>
      </c>
      <c r="E82" s="382" t="str">
        <f>IF(D82="","",VLOOKUP($B82,'C-1 On-Site WaterC'' Baseline'!$C$9:$R$257,4,FALSE))</f>
        <v>Medium</v>
      </c>
      <c r="F82" s="382">
        <f>IF(E82="","",VLOOKUP($B82,'C-1 On-Site WaterC'' Baseline'!$C$9:$R$257,5,FALSE))</f>
        <v>4</v>
      </c>
      <c r="G82" s="382" t="str">
        <f>IF(F82="","",VLOOKUP($B82,'C-1 On-Site WaterC'' Baseline'!$C$9:$R$257,6,FALSE))</f>
        <v>Poor</v>
      </c>
      <c r="H82" s="382">
        <f>IF(G82="","",VLOOKUP($B82,'C-1 On-Site WaterC'' Baseline'!$C$9:$R$257,7,FALSE))</f>
        <v>1</v>
      </c>
      <c r="I82" s="382" t="str">
        <f>IF(H82="","",VLOOKUP($B82,'C-1 On-Site WaterC'' Baseline'!$C$9:$R$257,8,FALSE))</f>
        <v>Area/compensation not in local strategy/ no local strategy</v>
      </c>
      <c r="J82" s="382" t="str">
        <f>IF(I82="","",VLOOKUP($B82,'C-1 On-Site WaterC'' Baseline'!$C$9:$R$257,9,FALSE))</f>
        <v>Low Strategic Significance</v>
      </c>
      <c r="K82" s="382">
        <f>IF(J82="","",VLOOKUP($B82,'C-1 On-Site WaterC'' Baseline'!$C$9:$R$257,10,FALSE))</f>
        <v>1</v>
      </c>
      <c r="L82" s="382" t="str">
        <f>IF(B82="","",VLOOKUP($B82,'C-1 On-Site WaterC'' Baseline'!$C$9:$R$257,15,FALSE))</f>
        <v>Same habitat required =</v>
      </c>
      <c r="M82" s="386">
        <f>IF(L82="","",VLOOKUP($B82,'C-1 On-Site WaterC'' Baseline'!$C$9:$R$257,16,FALSE))</f>
        <v>1.1760452978738032</v>
      </c>
      <c r="N82" s="320" t="str">
        <f t="shared" si="8"/>
        <v>Ditches</v>
      </c>
      <c r="O82" s="362" t="str">
        <f t="shared" si="10"/>
        <v>Medium - Medium</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Poor - Poor</v>
      </c>
      <c r="Q82" s="425">
        <f>IF(N82="","",VLOOKUP(B82,'C-1 On-Site WaterC'' Baseline'!$C$10:$AB$257,19,FALSE))</f>
        <v>0.39201509929126771</v>
      </c>
      <c r="R82" s="362" t="str">
        <f>IF(N82="","",VLOOKUP(N82,'G-7 WaterC'' Data'!$B$2:$G$8,2,FALSE))</f>
        <v>Medium</v>
      </c>
      <c r="S82" s="363">
        <f>IFERROR(VLOOKUP(R82,'G-7 WaterC'' Data'!$C$4:$D$8,2,FALSE),"")</f>
        <v>4</v>
      </c>
      <c r="T82" s="114" t="s">
        <v>329</v>
      </c>
      <c r="U82" s="363">
        <f>IFERROR(INDEX('G-7 WaterC'' Data'!$H$4:$L$8,MATCH(N82,'G-7 WaterC'' Data'!$B$4:$B$8,0),MATCH(T82,'G-7 WaterC'' Data'!$H$3:$L$3,0)),"")</f>
        <v>1</v>
      </c>
      <c r="V82" s="114" t="s">
        <v>1037</v>
      </c>
      <c r="W82" s="370" t="str">
        <f>IF(V82="","",IF(VLOOKUP(V82,'G-7 WaterC'' Data'!$AK$4:$AM$6,2,FALSE)=0,"Spatial Data Missing ⚠",VLOOKUP(V82,'G-7 WaterC'' Data'!$AK$4:$AM$6,2,FALSE)))</f>
        <v>Low Strategic Significance</v>
      </c>
      <c r="X82" s="363">
        <f>IF(V82="","",IF(VLOOKUP(V82,'G-7 WaterC'' Data'!$AK$4:$AM$6,3,FALSE)=0,"Spatial Data Missing ⚠",VLOOKUP(V82,'G-7 WaterC'' Data'!$AK$4:$AM$6,3,FALSE)))</f>
        <v>1</v>
      </c>
      <c r="Y82" s="362">
        <f>IFERROR(IF(OR(LEFT(P82,5)="Error",LEFT(O82,5)="Error ▲"),"Check Data ⚠",IF(F82&lt;S82,'G-7 WaterC'' Data'!$R$3,INDEX('G-7 WaterC'' Data'!$U$5:$Y$9,MATCH(G82,'G-7 WaterC'' Data'!$T$5:$T$9,0),MATCH(T82,'G-7 WaterC'' Data'!$U$4:$Y$4,0)))),"")</f>
        <v>1</v>
      </c>
      <c r="Z82" s="159">
        <v>0</v>
      </c>
      <c r="AA82" s="159">
        <v>0</v>
      </c>
      <c r="AB82" s="370" t="str">
        <f t="shared" si="11"/>
        <v>Standard time to target condition applied</v>
      </c>
      <c r="AC82" s="383">
        <f t="shared" si="12"/>
        <v>1</v>
      </c>
      <c r="AD82" s="422">
        <f>IFERROR(IF(AC82="Check Data ⚠","Check Data ⚠",VLOOKUP(AC82,'G-4 Temporal multipliers'!$A$4:$C$37,3,FALSE)),"")</f>
        <v>0.96499999999999997</v>
      </c>
      <c r="AE82" s="362" t="str">
        <f>IF(N82="","",VLOOKUP(N82,'G-7 WaterC'' Data'!$B$4:$G$8,5,FALSE))</f>
        <v>Medium</v>
      </c>
      <c r="AF82" s="370" t="str">
        <f t="shared" si="13"/>
        <v>Standard difficulty applied</v>
      </c>
      <c r="AG82" s="401" t="str">
        <f t="shared" si="14"/>
        <v>Medium</v>
      </c>
      <c r="AH82" s="363">
        <f t="shared" si="9"/>
        <v>0.67</v>
      </c>
      <c r="AI82" s="122" t="s">
        <v>1126</v>
      </c>
      <c r="AJ82" s="363">
        <f>IF(AI82="","",IF(VLOOKUP(AI82,'G-7 WaterC'' Data'!$AA$4:$AB$7,2,FALSE)=0,"Spatial Data Missing ⚠",VLOOKUP(AI82,'G-7 WaterC'' Data'!$AA$4:$AB$7,2,FALSE)))</f>
        <v>1</v>
      </c>
      <c r="AK82" s="123" t="s">
        <v>1142</v>
      </c>
      <c r="AL82" s="363">
        <f>IF(AK82="","",IF(VLOOKUP(AK82,'G-7 WaterC'' Data'!$AD$4:$AE$14,2,FALSE)=0,"Spatial Data Missing ⚠",VLOOKUP(AK82,'G-7 WaterC'' Data'!$AD$4:$AE$14,2,FALSE)))</f>
        <v>0.87</v>
      </c>
      <c r="AM82" s="405">
        <f t="shared" si="15"/>
        <v>1.3642125455336116</v>
      </c>
      <c r="AN82" s="117"/>
      <c r="AO82" s="118"/>
      <c r="AP82" s="120" t="s">
        <v>2077</v>
      </c>
      <c r="AV82" s="30" t="str">
        <f>IFERROR(INDEX('G-7 WaterC'' Data'!$AZ$3:$AZ$7,MATCH(N82,'G-7 WaterC'' Data'!$AY$3:$AY$7,0)),"")</f>
        <v>Rivercond1</v>
      </c>
    </row>
    <row r="83" spans="2:48" ht="28.5" x14ac:dyDescent="0.2">
      <c r="B83" s="392">
        <f>'C-1 On-Site WaterC'' Baseline'!AO81</f>
        <v>77</v>
      </c>
      <c r="C83" s="382" t="str">
        <f>IF(B83="","",VLOOKUP($B83,'C-1 On-Site WaterC'' Baseline'!$C$9:$R$257,2,FALSE))</f>
        <v>Ditches</v>
      </c>
      <c r="D83" s="382">
        <f>IF(C83="","",VLOOKUP($B83,'C-1 On-Site WaterC'' Baseline'!$C$9:$R$257,3,FALSE))</f>
        <v>0.76110622959393415</v>
      </c>
      <c r="E83" s="382" t="str">
        <f>IF(D83="","",VLOOKUP($B83,'C-1 On-Site WaterC'' Baseline'!$C$9:$R$257,4,FALSE))</f>
        <v>Medium</v>
      </c>
      <c r="F83" s="382">
        <f>IF(E83="","",VLOOKUP($B83,'C-1 On-Site WaterC'' Baseline'!$C$9:$R$257,5,FALSE))</f>
        <v>4</v>
      </c>
      <c r="G83" s="382" t="str">
        <f>IF(F83="","",VLOOKUP($B83,'C-1 On-Site WaterC'' Baseline'!$C$9:$R$257,6,FALSE))</f>
        <v>Poor</v>
      </c>
      <c r="H83" s="382">
        <f>IF(G83="","",VLOOKUP($B83,'C-1 On-Site WaterC'' Baseline'!$C$9:$R$257,7,FALSE))</f>
        <v>1</v>
      </c>
      <c r="I83" s="382" t="str">
        <f>IF(H83="","",VLOOKUP($B83,'C-1 On-Site WaterC'' Baseline'!$C$9:$R$257,8,FALSE))</f>
        <v>Area/compensation not in local strategy/ no local strategy</v>
      </c>
      <c r="J83" s="382" t="str">
        <f>IF(I83="","",VLOOKUP($B83,'C-1 On-Site WaterC'' Baseline'!$C$9:$R$257,9,FALSE))</f>
        <v>Low Strategic Significance</v>
      </c>
      <c r="K83" s="382">
        <f>IF(J83="","",VLOOKUP($B83,'C-1 On-Site WaterC'' Baseline'!$C$9:$R$257,10,FALSE))</f>
        <v>1</v>
      </c>
      <c r="L83" s="382" t="str">
        <f>IF(B83="","",VLOOKUP($B83,'C-1 On-Site WaterC'' Baseline'!$C$9:$R$257,15,FALSE))</f>
        <v>Same habitat required =</v>
      </c>
      <c r="M83" s="386">
        <f>IF(L83="","",VLOOKUP($B83,'C-1 On-Site WaterC'' Baseline'!$C$9:$R$257,16,FALSE))</f>
        <v>2.2833186887818027</v>
      </c>
      <c r="N83" s="320" t="str">
        <f t="shared" si="8"/>
        <v>Ditches</v>
      </c>
      <c r="O83" s="362" t="str">
        <f t="shared" si="10"/>
        <v>Medium - Medium</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Poor - Poor</v>
      </c>
      <c r="Q83" s="425">
        <f>IF(N83="","",VLOOKUP(B83,'C-1 On-Site WaterC'' Baseline'!$C$10:$AB$257,19,FALSE))</f>
        <v>0.76110622959393415</v>
      </c>
      <c r="R83" s="362" t="str">
        <f>IF(N83="","",VLOOKUP(N83,'G-7 WaterC'' Data'!$B$2:$G$8,2,FALSE))</f>
        <v>Medium</v>
      </c>
      <c r="S83" s="363">
        <f>IFERROR(VLOOKUP(R83,'G-7 WaterC'' Data'!$C$4:$D$8,2,FALSE),"")</f>
        <v>4</v>
      </c>
      <c r="T83" s="114" t="s">
        <v>329</v>
      </c>
      <c r="U83" s="363">
        <f>IFERROR(INDEX('G-7 WaterC'' Data'!$H$4:$L$8,MATCH(N83,'G-7 WaterC'' Data'!$B$4:$B$8,0),MATCH(T83,'G-7 WaterC'' Data'!$H$3:$L$3,0)),"")</f>
        <v>1</v>
      </c>
      <c r="V83" s="114" t="s">
        <v>1037</v>
      </c>
      <c r="W83" s="370" t="str">
        <f>IF(V83="","",IF(VLOOKUP(V83,'G-7 WaterC'' Data'!$AK$4:$AM$6,2,FALSE)=0,"Spatial Data Missing ⚠",VLOOKUP(V83,'G-7 WaterC'' Data'!$AK$4:$AM$6,2,FALSE)))</f>
        <v>Low Strategic Significance</v>
      </c>
      <c r="X83" s="363">
        <f>IF(V83="","",IF(VLOOKUP(V83,'G-7 WaterC'' Data'!$AK$4:$AM$6,3,FALSE)=0,"Spatial Data Missing ⚠",VLOOKUP(V83,'G-7 WaterC'' Data'!$AK$4:$AM$6,3,FALSE)))</f>
        <v>1</v>
      </c>
      <c r="Y83" s="362">
        <f>IFERROR(IF(OR(LEFT(P83,5)="Error",LEFT(O83,5)="Error ▲"),"Check Data ⚠",IF(F83&lt;S83,'G-7 WaterC'' Data'!$R$3,INDEX('G-7 WaterC'' Data'!$U$5:$Y$9,MATCH(G83,'G-7 WaterC'' Data'!$T$5:$T$9,0),MATCH(T83,'G-7 WaterC'' Data'!$U$4:$Y$4,0)))),"")</f>
        <v>1</v>
      </c>
      <c r="Z83" s="159">
        <v>0</v>
      </c>
      <c r="AA83" s="159">
        <v>0</v>
      </c>
      <c r="AB83" s="370" t="str">
        <f t="shared" si="11"/>
        <v>Standard time to target condition applied</v>
      </c>
      <c r="AC83" s="383">
        <f t="shared" si="12"/>
        <v>1</v>
      </c>
      <c r="AD83" s="422">
        <f>IFERROR(IF(AC83="Check Data ⚠","Check Data ⚠",VLOOKUP(AC83,'G-4 Temporal multipliers'!$A$4:$C$37,3,FALSE)),"")</f>
        <v>0.96499999999999997</v>
      </c>
      <c r="AE83" s="362" t="str">
        <f>IF(N83="","",VLOOKUP(N83,'G-7 WaterC'' Data'!$B$4:$G$8,5,FALSE))</f>
        <v>Medium</v>
      </c>
      <c r="AF83" s="370" t="str">
        <f t="shared" si="13"/>
        <v>Standard difficulty applied</v>
      </c>
      <c r="AG83" s="401" t="str">
        <f t="shared" si="14"/>
        <v>Medium</v>
      </c>
      <c r="AH83" s="363">
        <f t="shared" si="9"/>
        <v>0.67</v>
      </c>
      <c r="AI83" s="122" t="s">
        <v>1126</v>
      </c>
      <c r="AJ83" s="363">
        <f>IF(AI83="","",IF(VLOOKUP(AI83,'G-7 WaterC'' Data'!$AA$4:$AB$7,2,FALSE)=0,"Spatial Data Missing ⚠",VLOOKUP(AI83,'G-7 WaterC'' Data'!$AA$4:$AB$7,2,FALSE)))</f>
        <v>1</v>
      </c>
      <c r="AK83" s="123" t="s">
        <v>1153</v>
      </c>
      <c r="AL83" s="363">
        <f>IF(AK83="","",IF(VLOOKUP(AK83,'G-7 WaterC'' Data'!$AD$4:$AE$14,2,FALSE)=0,"Spatial Data Missing ⚠",VLOOKUP(AK83,'G-7 WaterC'' Data'!$AD$4:$AE$14,2,FALSE)))</f>
        <v>1</v>
      </c>
      <c r="AM83" s="405">
        <f t="shared" si="15"/>
        <v>3.0444249183757366</v>
      </c>
      <c r="AN83" s="117"/>
      <c r="AO83" s="118"/>
      <c r="AP83" s="120" t="s">
        <v>2078</v>
      </c>
      <c r="AV83" s="30" t="str">
        <f>IFERROR(INDEX('G-7 WaterC'' Data'!$AZ$3:$AZ$7,MATCH(N83,'G-7 WaterC'' Data'!$AY$3:$AY$7,0)),"")</f>
        <v>Rivercond1</v>
      </c>
    </row>
    <row r="84" spans="2:48" ht="28.5" x14ac:dyDescent="0.2">
      <c r="B84" s="392">
        <f>'C-1 On-Site WaterC'' Baseline'!AO82</f>
        <v>78</v>
      </c>
      <c r="C84" s="382" t="str">
        <f>IF(B84="","",VLOOKUP($B84,'C-1 On-Site WaterC'' Baseline'!$C$9:$R$257,2,FALSE))</f>
        <v>Ditches</v>
      </c>
      <c r="D84" s="382">
        <f>IF(C84="","",VLOOKUP($B84,'C-1 On-Site WaterC'' Baseline'!$C$9:$R$257,3,FALSE))</f>
        <v>0.16726073068269301</v>
      </c>
      <c r="E84" s="382" t="str">
        <f>IF(D84="","",VLOOKUP($B84,'C-1 On-Site WaterC'' Baseline'!$C$9:$R$257,4,FALSE))</f>
        <v>Medium</v>
      </c>
      <c r="F84" s="382">
        <f>IF(E84="","",VLOOKUP($B84,'C-1 On-Site WaterC'' Baseline'!$C$9:$R$257,5,FALSE))</f>
        <v>4</v>
      </c>
      <c r="G84" s="382" t="str">
        <f>IF(F84="","",VLOOKUP($B84,'C-1 On-Site WaterC'' Baseline'!$C$9:$R$257,6,FALSE))</f>
        <v>Poor</v>
      </c>
      <c r="H84" s="382">
        <f>IF(G84="","",VLOOKUP($B84,'C-1 On-Site WaterC'' Baseline'!$C$9:$R$257,7,FALSE))</f>
        <v>1</v>
      </c>
      <c r="I84" s="382" t="str">
        <f>IF(H84="","",VLOOKUP($B84,'C-1 On-Site WaterC'' Baseline'!$C$9:$R$257,8,FALSE))</f>
        <v>Area/compensation not in local strategy/ no local strategy</v>
      </c>
      <c r="J84" s="382" t="str">
        <f>IF(I84="","",VLOOKUP($B84,'C-1 On-Site WaterC'' Baseline'!$C$9:$R$257,9,FALSE))</f>
        <v>Low Strategic Significance</v>
      </c>
      <c r="K84" s="382">
        <f>IF(J84="","",VLOOKUP($B84,'C-1 On-Site WaterC'' Baseline'!$C$9:$R$257,10,FALSE))</f>
        <v>1</v>
      </c>
      <c r="L84" s="382" t="str">
        <f>IF(B84="","",VLOOKUP($B84,'C-1 On-Site WaterC'' Baseline'!$C$9:$R$257,15,FALSE))</f>
        <v>Same habitat required =</v>
      </c>
      <c r="M84" s="386">
        <f>IF(L84="","",VLOOKUP($B84,'C-1 On-Site WaterC'' Baseline'!$C$9:$R$257,16,FALSE))</f>
        <v>0.50178219204807906</v>
      </c>
      <c r="N84" s="320" t="str">
        <f t="shared" si="8"/>
        <v>Ditches</v>
      </c>
      <c r="O84" s="362" t="str">
        <f t="shared" si="10"/>
        <v>Medium - Medium</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Poor - Poor</v>
      </c>
      <c r="Q84" s="425">
        <f>IF(N84="","",VLOOKUP(B84,'C-1 On-Site WaterC'' Baseline'!$C$10:$AB$257,19,FALSE))</f>
        <v>0.16726073068269301</v>
      </c>
      <c r="R84" s="362" t="str">
        <f>IF(N84="","",VLOOKUP(N84,'G-7 WaterC'' Data'!$B$2:$G$8,2,FALSE))</f>
        <v>Medium</v>
      </c>
      <c r="S84" s="363">
        <f>IFERROR(VLOOKUP(R84,'G-7 WaterC'' Data'!$C$4:$D$8,2,FALSE),"")</f>
        <v>4</v>
      </c>
      <c r="T84" s="114" t="s">
        <v>329</v>
      </c>
      <c r="U84" s="363">
        <f>IFERROR(INDEX('G-7 WaterC'' Data'!$H$4:$L$8,MATCH(N84,'G-7 WaterC'' Data'!$B$4:$B$8,0),MATCH(T84,'G-7 WaterC'' Data'!$H$3:$L$3,0)),"")</f>
        <v>1</v>
      </c>
      <c r="V84" s="114" t="s">
        <v>1037</v>
      </c>
      <c r="W84" s="370" t="str">
        <f>IF(V84="","",IF(VLOOKUP(V84,'G-7 WaterC'' Data'!$AK$4:$AM$6,2,FALSE)=0,"Spatial Data Missing ⚠",VLOOKUP(V84,'G-7 WaterC'' Data'!$AK$4:$AM$6,2,FALSE)))</f>
        <v>Low Strategic Significance</v>
      </c>
      <c r="X84" s="363">
        <f>IF(V84="","",IF(VLOOKUP(V84,'G-7 WaterC'' Data'!$AK$4:$AM$6,3,FALSE)=0,"Spatial Data Missing ⚠",VLOOKUP(V84,'G-7 WaterC'' Data'!$AK$4:$AM$6,3,FALSE)))</f>
        <v>1</v>
      </c>
      <c r="Y84" s="362">
        <f>IFERROR(IF(OR(LEFT(P84,5)="Error",LEFT(O84,5)="Error ▲"),"Check Data ⚠",IF(F84&lt;S84,'G-7 WaterC'' Data'!$R$3,INDEX('G-7 WaterC'' Data'!$U$5:$Y$9,MATCH(G84,'G-7 WaterC'' Data'!$T$5:$T$9,0),MATCH(T84,'G-7 WaterC'' Data'!$U$4:$Y$4,0)))),"")</f>
        <v>1</v>
      </c>
      <c r="Z84" s="159">
        <v>0</v>
      </c>
      <c r="AA84" s="159">
        <v>0</v>
      </c>
      <c r="AB84" s="370" t="str">
        <f t="shared" si="11"/>
        <v>Standard time to target condition applied</v>
      </c>
      <c r="AC84" s="383">
        <f t="shared" si="12"/>
        <v>1</v>
      </c>
      <c r="AD84" s="422">
        <f>IFERROR(IF(AC84="Check Data ⚠","Check Data ⚠",VLOOKUP(AC84,'G-4 Temporal multipliers'!$A$4:$C$37,3,FALSE)),"")</f>
        <v>0.96499999999999997</v>
      </c>
      <c r="AE84" s="362" t="str">
        <f>IF(N84="","",VLOOKUP(N84,'G-7 WaterC'' Data'!$B$4:$G$8,5,FALSE))</f>
        <v>Medium</v>
      </c>
      <c r="AF84" s="370" t="str">
        <f t="shared" si="13"/>
        <v>Standard difficulty applied</v>
      </c>
      <c r="AG84" s="401" t="str">
        <f t="shared" si="14"/>
        <v>Medium</v>
      </c>
      <c r="AH84" s="363">
        <f t="shared" si="9"/>
        <v>0.67</v>
      </c>
      <c r="AI84" s="122" t="s">
        <v>1126</v>
      </c>
      <c r="AJ84" s="363">
        <f>IF(AI84="","",IF(VLOOKUP(AI84,'G-7 WaterC'' Data'!$AA$4:$AB$7,2,FALSE)=0,"Spatial Data Missing ⚠",VLOOKUP(AI84,'G-7 WaterC'' Data'!$AA$4:$AB$7,2,FALSE)))</f>
        <v>1</v>
      </c>
      <c r="AK84" s="123" t="s">
        <v>1142</v>
      </c>
      <c r="AL84" s="363">
        <f>IF(AK84="","",IF(VLOOKUP(AK84,'G-7 WaterC'' Data'!$AD$4:$AE$14,2,FALSE)=0,"Spatial Data Missing ⚠",VLOOKUP(AK84,'G-7 WaterC'' Data'!$AD$4:$AE$14,2,FALSE)))</f>
        <v>0.87</v>
      </c>
      <c r="AM84" s="405">
        <f t="shared" si="15"/>
        <v>0.58206734277577166</v>
      </c>
      <c r="AN84" s="117"/>
      <c r="AO84" s="118"/>
      <c r="AP84" s="120" t="s">
        <v>2079</v>
      </c>
      <c r="AV84" s="30" t="str">
        <f>IFERROR(INDEX('G-7 WaterC'' Data'!$AZ$3:$AZ$7,MATCH(N84,'G-7 WaterC'' Data'!$AY$3:$AY$7,0)),"")</f>
        <v>Rivercond1</v>
      </c>
    </row>
    <row r="85" spans="2:48" ht="28.5" x14ac:dyDescent="0.2">
      <c r="B85" s="392">
        <f>'C-1 On-Site WaterC'' Baseline'!AO83</f>
        <v>79</v>
      </c>
      <c r="C85" s="382" t="str">
        <f>IF(B85="","",VLOOKUP($B85,'C-1 On-Site WaterC'' Baseline'!$C$9:$R$257,2,FALSE))</f>
        <v>Ditches</v>
      </c>
      <c r="D85" s="382">
        <f>IF(C85="","",VLOOKUP($B85,'C-1 On-Site WaterC'' Baseline'!$C$9:$R$257,3,FALSE))</f>
        <v>0.44636387088014512</v>
      </c>
      <c r="E85" s="382" t="str">
        <f>IF(D85="","",VLOOKUP($B85,'C-1 On-Site WaterC'' Baseline'!$C$9:$R$257,4,FALSE))</f>
        <v>Medium</v>
      </c>
      <c r="F85" s="382">
        <f>IF(E85="","",VLOOKUP($B85,'C-1 On-Site WaterC'' Baseline'!$C$9:$R$257,5,FALSE))</f>
        <v>4</v>
      </c>
      <c r="G85" s="382" t="str">
        <f>IF(F85="","",VLOOKUP($B85,'C-1 On-Site WaterC'' Baseline'!$C$9:$R$257,6,FALSE))</f>
        <v>Poor</v>
      </c>
      <c r="H85" s="382">
        <f>IF(G85="","",VLOOKUP($B85,'C-1 On-Site WaterC'' Baseline'!$C$9:$R$257,7,FALSE))</f>
        <v>1</v>
      </c>
      <c r="I85" s="382" t="str">
        <f>IF(H85="","",VLOOKUP($B85,'C-1 On-Site WaterC'' Baseline'!$C$9:$R$257,8,FALSE))</f>
        <v>Area/compensation not in local strategy/ no local strategy</v>
      </c>
      <c r="J85" s="382" t="str">
        <f>IF(I85="","",VLOOKUP($B85,'C-1 On-Site WaterC'' Baseline'!$C$9:$R$257,9,FALSE))</f>
        <v>Low Strategic Significance</v>
      </c>
      <c r="K85" s="382">
        <f>IF(J85="","",VLOOKUP($B85,'C-1 On-Site WaterC'' Baseline'!$C$9:$R$257,10,FALSE))</f>
        <v>1</v>
      </c>
      <c r="L85" s="382" t="str">
        <f>IF(B85="","",VLOOKUP($B85,'C-1 On-Site WaterC'' Baseline'!$C$9:$R$257,15,FALSE))</f>
        <v>Same habitat required =</v>
      </c>
      <c r="M85" s="386">
        <f>IF(L85="","",VLOOKUP($B85,'C-1 On-Site WaterC'' Baseline'!$C$9:$R$257,16,FALSE))</f>
        <v>1.3390916126404353</v>
      </c>
      <c r="N85" s="320" t="str">
        <f t="shared" si="8"/>
        <v>Ditches</v>
      </c>
      <c r="O85" s="362" t="str">
        <f t="shared" si="10"/>
        <v>Medium - Medium</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Poor - Poor</v>
      </c>
      <c r="Q85" s="425">
        <f>IF(N85="","",VLOOKUP(B85,'C-1 On-Site WaterC'' Baseline'!$C$10:$AB$257,19,FALSE))</f>
        <v>0.44636387088014512</v>
      </c>
      <c r="R85" s="362" t="str">
        <f>IF(N85="","",VLOOKUP(N85,'G-7 WaterC'' Data'!$B$2:$G$8,2,FALSE))</f>
        <v>Medium</v>
      </c>
      <c r="S85" s="363">
        <f>IFERROR(VLOOKUP(R85,'G-7 WaterC'' Data'!$C$4:$D$8,2,FALSE),"")</f>
        <v>4</v>
      </c>
      <c r="T85" s="114" t="s">
        <v>329</v>
      </c>
      <c r="U85" s="363">
        <f>IFERROR(INDEX('G-7 WaterC'' Data'!$H$4:$L$8,MATCH(N85,'G-7 WaterC'' Data'!$B$4:$B$8,0),MATCH(T85,'G-7 WaterC'' Data'!$H$3:$L$3,0)),"")</f>
        <v>1</v>
      </c>
      <c r="V85" s="114" t="s">
        <v>1037</v>
      </c>
      <c r="W85" s="370" t="str">
        <f>IF(V85="","",IF(VLOOKUP(V85,'G-7 WaterC'' Data'!$AK$4:$AM$6,2,FALSE)=0,"Spatial Data Missing ⚠",VLOOKUP(V85,'G-7 WaterC'' Data'!$AK$4:$AM$6,2,FALSE)))</f>
        <v>Low Strategic Significance</v>
      </c>
      <c r="X85" s="363">
        <f>IF(V85="","",IF(VLOOKUP(V85,'G-7 WaterC'' Data'!$AK$4:$AM$6,3,FALSE)=0,"Spatial Data Missing ⚠",VLOOKUP(V85,'G-7 WaterC'' Data'!$AK$4:$AM$6,3,FALSE)))</f>
        <v>1</v>
      </c>
      <c r="Y85" s="362">
        <f>IFERROR(IF(OR(LEFT(P85,5)="Error",LEFT(O85,5)="Error ▲"),"Check Data ⚠",IF(F85&lt;S85,'G-7 WaterC'' Data'!$R$3,INDEX('G-7 WaterC'' Data'!$U$5:$Y$9,MATCH(G85,'G-7 WaterC'' Data'!$T$5:$T$9,0),MATCH(T85,'G-7 WaterC'' Data'!$U$4:$Y$4,0)))),"")</f>
        <v>1</v>
      </c>
      <c r="Z85" s="159">
        <v>0</v>
      </c>
      <c r="AA85" s="159">
        <v>0</v>
      </c>
      <c r="AB85" s="370" t="str">
        <f t="shared" si="11"/>
        <v>Standard time to target condition applied</v>
      </c>
      <c r="AC85" s="383">
        <f t="shared" si="12"/>
        <v>1</v>
      </c>
      <c r="AD85" s="422">
        <f>IFERROR(IF(AC85="Check Data ⚠","Check Data ⚠",VLOOKUP(AC85,'G-4 Temporal multipliers'!$A$4:$C$37,3,FALSE)),"")</f>
        <v>0.96499999999999997</v>
      </c>
      <c r="AE85" s="362" t="str">
        <f>IF(N85="","",VLOOKUP(N85,'G-7 WaterC'' Data'!$B$4:$G$8,5,FALSE))</f>
        <v>Medium</v>
      </c>
      <c r="AF85" s="370" t="str">
        <f t="shared" si="13"/>
        <v>Standard difficulty applied</v>
      </c>
      <c r="AG85" s="401" t="str">
        <f t="shared" si="14"/>
        <v>Medium</v>
      </c>
      <c r="AH85" s="363">
        <f t="shared" si="9"/>
        <v>0.67</v>
      </c>
      <c r="AI85" s="122" t="s">
        <v>1126</v>
      </c>
      <c r="AJ85" s="363">
        <f>IF(AI85="","",IF(VLOOKUP(AI85,'G-7 WaterC'' Data'!$AA$4:$AB$7,2,FALSE)=0,"Spatial Data Missing ⚠",VLOOKUP(AI85,'G-7 WaterC'' Data'!$AA$4:$AB$7,2,FALSE)))</f>
        <v>1</v>
      </c>
      <c r="AK85" s="123" t="s">
        <v>1153</v>
      </c>
      <c r="AL85" s="363">
        <f>IF(AK85="","",IF(VLOOKUP(AK85,'G-7 WaterC'' Data'!$AD$4:$AE$14,2,FALSE)=0,"Spatial Data Missing ⚠",VLOOKUP(AK85,'G-7 WaterC'' Data'!$AD$4:$AE$14,2,FALSE)))</f>
        <v>1</v>
      </c>
      <c r="AM85" s="405">
        <f t="shared" si="15"/>
        <v>1.7854554835205805</v>
      </c>
      <c r="AN85" s="117"/>
      <c r="AO85" s="118"/>
      <c r="AP85" s="120" t="s">
        <v>2080</v>
      </c>
      <c r="AV85" s="30" t="str">
        <f>IFERROR(INDEX('G-7 WaterC'' Data'!$AZ$3:$AZ$7,MATCH(N85,'G-7 WaterC'' Data'!$AY$3:$AY$7,0)),"")</f>
        <v>Rivercond1</v>
      </c>
    </row>
    <row r="86" spans="2:48" ht="28.5" x14ac:dyDescent="0.2">
      <c r="B86" s="392">
        <f>'C-1 On-Site WaterC'' Baseline'!AO84</f>
        <v>80</v>
      </c>
      <c r="C86" s="382" t="str">
        <f>IF(B86="","",VLOOKUP($B86,'C-1 On-Site WaterC'' Baseline'!$C$9:$R$257,2,FALSE))</f>
        <v>Ditches</v>
      </c>
      <c r="D86" s="382">
        <f>IF(C86="","",VLOOKUP($B86,'C-1 On-Site WaterC'' Baseline'!$C$9:$R$257,3,FALSE))</f>
        <v>0.4102838530129112</v>
      </c>
      <c r="E86" s="382" t="str">
        <f>IF(D86="","",VLOOKUP($B86,'C-1 On-Site WaterC'' Baseline'!$C$9:$R$257,4,FALSE))</f>
        <v>Medium</v>
      </c>
      <c r="F86" s="382">
        <f>IF(E86="","",VLOOKUP($B86,'C-1 On-Site WaterC'' Baseline'!$C$9:$R$257,5,FALSE))</f>
        <v>4</v>
      </c>
      <c r="G86" s="382" t="str">
        <f>IF(F86="","",VLOOKUP($B86,'C-1 On-Site WaterC'' Baseline'!$C$9:$R$257,6,FALSE))</f>
        <v>Poor</v>
      </c>
      <c r="H86" s="382">
        <f>IF(G86="","",VLOOKUP($B86,'C-1 On-Site WaterC'' Baseline'!$C$9:$R$257,7,FALSE))</f>
        <v>1</v>
      </c>
      <c r="I86" s="382" t="str">
        <f>IF(H86="","",VLOOKUP($B86,'C-1 On-Site WaterC'' Baseline'!$C$9:$R$257,8,FALSE))</f>
        <v>Area/compensation not in local strategy/ no local strategy</v>
      </c>
      <c r="J86" s="382" t="str">
        <f>IF(I86="","",VLOOKUP($B86,'C-1 On-Site WaterC'' Baseline'!$C$9:$R$257,9,FALSE))</f>
        <v>Low Strategic Significance</v>
      </c>
      <c r="K86" s="382">
        <f>IF(J86="","",VLOOKUP($B86,'C-1 On-Site WaterC'' Baseline'!$C$9:$R$257,10,FALSE))</f>
        <v>1</v>
      </c>
      <c r="L86" s="382" t="str">
        <f>IF(B86="","",VLOOKUP($B86,'C-1 On-Site WaterC'' Baseline'!$C$9:$R$257,15,FALSE))</f>
        <v>Same habitat required =</v>
      </c>
      <c r="M86" s="386">
        <f>IF(L86="","",VLOOKUP($B86,'C-1 On-Site WaterC'' Baseline'!$C$9:$R$257,16,FALSE))</f>
        <v>1.2308515590387337</v>
      </c>
      <c r="N86" s="320" t="str">
        <f t="shared" si="8"/>
        <v>Ditches</v>
      </c>
      <c r="O86" s="362" t="str">
        <f t="shared" si="10"/>
        <v>Medium - Medium</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Poor - Poor</v>
      </c>
      <c r="Q86" s="425">
        <f>IF(N86="","",VLOOKUP(B86,'C-1 On-Site WaterC'' Baseline'!$C$10:$AB$257,19,FALSE))</f>
        <v>0.4102838530129112</v>
      </c>
      <c r="R86" s="362" t="str">
        <f>IF(N86="","",VLOOKUP(N86,'G-7 WaterC'' Data'!$B$2:$G$8,2,FALSE))</f>
        <v>Medium</v>
      </c>
      <c r="S86" s="363">
        <f>IFERROR(VLOOKUP(R86,'G-7 WaterC'' Data'!$C$4:$D$8,2,FALSE),"")</f>
        <v>4</v>
      </c>
      <c r="T86" s="114" t="s">
        <v>329</v>
      </c>
      <c r="U86" s="363">
        <f>IFERROR(INDEX('G-7 WaterC'' Data'!$H$4:$L$8,MATCH(N86,'G-7 WaterC'' Data'!$B$4:$B$8,0),MATCH(T86,'G-7 WaterC'' Data'!$H$3:$L$3,0)),"")</f>
        <v>1</v>
      </c>
      <c r="V86" s="114" t="s">
        <v>1037</v>
      </c>
      <c r="W86" s="370" t="str">
        <f>IF(V86="","",IF(VLOOKUP(V86,'G-7 WaterC'' Data'!$AK$4:$AM$6,2,FALSE)=0,"Spatial Data Missing ⚠",VLOOKUP(V86,'G-7 WaterC'' Data'!$AK$4:$AM$6,2,FALSE)))</f>
        <v>Low Strategic Significance</v>
      </c>
      <c r="X86" s="363">
        <f>IF(V86="","",IF(VLOOKUP(V86,'G-7 WaterC'' Data'!$AK$4:$AM$6,3,FALSE)=0,"Spatial Data Missing ⚠",VLOOKUP(V86,'G-7 WaterC'' Data'!$AK$4:$AM$6,3,FALSE)))</f>
        <v>1</v>
      </c>
      <c r="Y86" s="362">
        <f>IFERROR(IF(OR(LEFT(P86,5)="Error",LEFT(O86,5)="Error ▲"),"Check Data ⚠",IF(F86&lt;S86,'G-7 WaterC'' Data'!$R$3,INDEX('G-7 WaterC'' Data'!$U$5:$Y$9,MATCH(G86,'G-7 WaterC'' Data'!$T$5:$T$9,0),MATCH(T86,'G-7 WaterC'' Data'!$U$4:$Y$4,0)))),"")</f>
        <v>1</v>
      </c>
      <c r="Z86" s="159">
        <v>0</v>
      </c>
      <c r="AA86" s="159">
        <v>0</v>
      </c>
      <c r="AB86" s="370" t="str">
        <f t="shared" si="11"/>
        <v>Standard time to target condition applied</v>
      </c>
      <c r="AC86" s="383">
        <f t="shared" si="12"/>
        <v>1</v>
      </c>
      <c r="AD86" s="422">
        <f>IFERROR(IF(AC86="Check Data ⚠","Check Data ⚠",VLOOKUP(AC86,'G-4 Temporal multipliers'!$A$4:$C$37,3,FALSE)),"")</f>
        <v>0.96499999999999997</v>
      </c>
      <c r="AE86" s="362" t="str">
        <f>IF(N86="","",VLOOKUP(N86,'G-7 WaterC'' Data'!$B$4:$G$8,5,FALSE))</f>
        <v>Medium</v>
      </c>
      <c r="AF86" s="370" t="str">
        <f t="shared" si="13"/>
        <v>Standard difficulty applied</v>
      </c>
      <c r="AG86" s="401" t="str">
        <f t="shared" si="14"/>
        <v>Medium</v>
      </c>
      <c r="AH86" s="363">
        <f t="shared" si="9"/>
        <v>0.67</v>
      </c>
      <c r="AI86" s="122" t="s">
        <v>1126</v>
      </c>
      <c r="AJ86" s="363">
        <f>IF(AI86="","",IF(VLOOKUP(AI86,'G-7 WaterC'' Data'!$AA$4:$AB$7,2,FALSE)=0,"Spatial Data Missing ⚠",VLOOKUP(AI86,'G-7 WaterC'' Data'!$AA$4:$AB$7,2,FALSE)))</f>
        <v>1</v>
      </c>
      <c r="AK86" s="123" t="s">
        <v>1142</v>
      </c>
      <c r="AL86" s="363">
        <f>IF(AK86="","",IF(VLOOKUP(AK86,'G-7 WaterC'' Data'!$AD$4:$AE$14,2,FALSE)=0,"Spatial Data Missing ⚠",VLOOKUP(AK86,'G-7 WaterC'' Data'!$AD$4:$AE$14,2,FALSE)))</f>
        <v>0.87</v>
      </c>
      <c r="AM86" s="405">
        <f t="shared" si="15"/>
        <v>1.4277878084849309</v>
      </c>
      <c r="AN86" s="117"/>
      <c r="AO86" s="118"/>
      <c r="AP86" s="120" t="s">
        <v>2081</v>
      </c>
      <c r="AV86" s="30" t="str">
        <f>IFERROR(INDEX('G-7 WaterC'' Data'!$AZ$3:$AZ$7,MATCH(N86,'G-7 WaterC'' Data'!$AY$3:$AY$7,0)),"")</f>
        <v>Rivercond1</v>
      </c>
    </row>
    <row r="87" spans="2:48" ht="28.5" x14ac:dyDescent="0.2">
      <c r="B87" s="392">
        <f>'C-1 On-Site WaterC'' Baseline'!AO85</f>
        <v>81</v>
      </c>
      <c r="C87" s="382" t="str">
        <f>IF(B87="","",VLOOKUP($B87,'C-1 On-Site WaterC'' Baseline'!$C$9:$R$257,2,FALSE))</f>
        <v>Ditches</v>
      </c>
      <c r="D87" s="382">
        <f>IF(C87="","",VLOOKUP($B87,'C-1 On-Site WaterC'' Baseline'!$C$9:$R$257,3,FALSE))</f>
        <v>0.60467380376031954</v>
      </c>
      <c r="E87" s="382" t="str">
        <f>IF(D87="","",VLOOKUP($B87,'C-1 On-Site WaterC'' Baseline'!$C$9:$R$257,4,FALSE))</f>
        <v>Medium</v>
      </c>
      <c r="F87" s="382">
        <f>IF(E87="","",VLOOKUP($B87,'C-1 On-Site WaterC'' Baseline'!$C$9:$R$257,5,FALSE))</f>
        <v>4</v>
      </c>
      <c r="G87" s="382" t="str">
        <f>IF(F87="","",VLOOKUP($B87,'C-1 On-Site WaterC'' Baseline'!$C$9:$R$257,6,FALSE))</f>
        <v>Poor</v>
      </c>
      <c r="H87" s="382">
        <f>IF(G87="","",VLOOKUP($B87,'C-1 On-Site WaterC'' Baseline'!$C$9:$R$257,7,FALSE))</f>
        <v>1</v>
      </c>
      <c r="I87" s="382" t="str">
        <f>IF(H87="","",VLOOKUP($B87,'C-1 On-Site WaterC'' Baseline'!$C$9:$R$257,8,FALSE))</f>
        <v>Area/compensation not in local strategy/ no local strategy</v>
      </c>
      <c r="J87" s="382" t="str">
        <f>IF(I87="","",VLOOKUP($B87,'C-1 On-Site WaterC'' Baseline'!$C$9:$R$257,9,FALSE))</f>
        <v>Low Strategic Significance</v>
      </c>
      <c r="K87" s="382">
        <f>IF(J87="","",VLOOKUP($B87,'C-1 On-Site WaterC'' Baseline'!$C$9:$R$257,10,FALSE))</f>
        <v>1</v>
      </c>
      <c r="L87" s="382" t="str">
        <f>IF(B87="","",VLOOKUP($B87,'C-1 On-Site WaterC'' Baseline'!$C$9:$R$257,15,FALSE))</f>
        <v>Same habitat required =</v>
      </c>
      <c r="M87" s="386">
        <f>IF(L87="","",VLOOKUP($B87,'C-1 On-Site WaterC'' Baseline'!$C$9:$R$257,16,FALSE))</f>
        <v>1.8140214112809585</v>
      </c>
      <c r="N87" s="320" t="str">
        <f t="shared" si="8"/>
        <v>Ditches</v>
      </c>
      <c r="O87" s="362" t="str">
        <f t="shared" si="10"/>
        <v>Medium - Medium</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Poor - Poor</v>
      </c>
      <c r="Q87" s="425">
        <f>IF(N87="","",VLOOKUP(B87,'C-1 On-Site WaterC'' Baseline'!$C$10:$AB$257,19,FALSE))</f>
        <v>0.60467380376031954</v>
      </c>
      <c r="R87" s="362" t="str">
        <f>IF(N87="","",VLOOKUP(N87,'G-7 WaterC'' Data'!$B$2:$G$8,2,FALSE))</f>
        <v>Medium</v>
      </c>
      <c r="S87" s="363">
        <f>IFERROR(VLOOKUP(R87,'G-7 WaterC'' Data'!$C$4:$D$8,2,FALSE),"")</f>
        <v>4</v>
      </c>
      <c r="T87" s="114" t="s">
        <v>329</v>
      </c>
      <c r="U87" s="363">
        <f>IFERROR(INDEX('G-7 WaterC'' Data'!$H$4:$L$8,MATCH(N87,'G-7 WaterC'' Data'!$B$4:$B$8,0),MATCH(T87,'G-7 WaterC'' Data'!$H$3:$L$3,0)),"")</f>
        <v>1</v>
      </c>
      <c r="V87" s="114" t="s">
        <v>1037</v>
      </c>
      <c r="W87" s="370" t="str">
        <f>IF(V87="","",IF(VLOOKUP(V87,'G-7 WaterC'' Data'!$AK$4:$AM$6,2,FALSE)=0,"Spatial Data Missing ⚠",VLOOKUP(V87,'G-7 WaterC'' Data'!$AK$4:$AM$6,2,FALSE)))</f>
        <v>Low Strategic Significance</v>
      </c>
      <c r="X87" s="363">
        <f>IF(V87="","",IF(VLOOKUP(V87,'G-7 WaterC'' Data'!$AK$4:$AM$6,3,FALSE)=0,"Spatial Data Missing ⚠",VLOOKUP(V87,'G-7 WaterC'' Data'!$AK$4:$AM$6,3,FALSE)))</f>
        <v>1</v>
      </c>
      <c r="Y87" s="362">
        <f>IFERROR(IF(OR(LEFT(P87,5)="Error",LEFT(O87,5)="Error ▲"),"Check Data ⚠",IF(F87&lt;S87,'G-7 WaterC'' Data'!$R$3,INDEX('G-7 WaterC'' Data'!$U$5:$Y$9,MATCH(G87,'G-7 WaterC'' Data'!$T$5:$T$9,0),MATCH(T87,'G-7 WaterC'' Data'!$U$4:$Y$4,0)))),"")</f>
        <v>1</v>
      </c>
      <c r="Z87" s="159">
        <v>0</v>
      </c>
      <c r="AA87" s="159">
        <v>0</v>
      </c>
      <c r="AB87" s="370" t="str">
        <f t="shared" si="11"/>
        <v>Standard time to target condition applied</v>
      </c>
      <c r="AC87" s="383">
        <f t="shared" si="12"/>
        <v>1</v>
      </c>
      <c r="AD87" s="422">
        <f>IFERROR(IF(AC87="Check Data ⚠","Check Data ⚠",VLOOKUP(AC87,'G-4 Temporal multipliers'!$A$4:$C$37,3,FALSE)),"")</f>
        <v>0.96499999999999997</v>
      </c>
      <c r="AE87" s="362" t="str">
        <f>IF(N87="","",VLOOKUP(N87,'G-7 WaterC'' Data'!$B$4:$G$8,5,FALSE))</f>
        <v>Medium</v>
      </c>
      <c r="AF87" s="370" t="str">
        <f t="shared" si="13"/>
        <v>Standard difficulty applied</v>
      </c>
      <c r="AG87" s="401" t="str">
        <f t="shared" si="14"/>
        <v>Medium</v>
      </c>
      <c r="AH87" s="363">
        <f t="shared" si="9"/>
        <v>0.67</v>
      </c>
      <c r="AI87" s="122" t="s">
        <v>1126</v>
      </c>
      <c r="AJ87" s="363">
        <f>IF(AI87="","",IF(VLOOKUP(AI87,'G-7 WaterC'' Data'!$AA$4:$AB$7,2,FALSE)=0,"Spatial Data Missing ⚠",VLOOKUP(AI87,'G-7 WaterC'' Data'!$AA$4:$AB$7,2,FALSE)))</f>
        <v>1</v>
      </c>
      <c r="AK87" s="123" t="s">
        <v>1153</v>
      </c>
      <c r="AL87" s="363">
        <f>IF(AK87="","",IF(VLOOKUP(AK87,'G-7 WaterC'' Data'!$AD$4:$AE$14,2,FALSE)=0,"Spatial Data Missing ⚠",VLOOKUP(AK87,'G-7 WaterC'' Data'!$AD$4:$AE$14,2,FALSE)))</f>
        <v>1</v>
      </c>
      <c r="AM87" s="405">
        <f t="shared" si="15"/>
        <v>2.4186952150412782</v>
      </c>
      <c r="AN87" s="117"/>
      <c r="AO87" s="118"/>
      <c r="AP87" s="120" t="s">
        <v>2082</v>
      </c>
      <c r="AV87" s="30" t="str">
        <f>IFERROR(INDEX('G-7 WaterC'' Data'!$AZ$3:$AZ$7,MATCH(N87,'G-7 WaterC'' Data'!$AY$3:$AY$7,0)),"")</f>
        <v>Rivercond1</v>
      </c>
    </row>
    <row r="88" spans="2:48" ht="28.5" x14ac:dyDescent="0.2">
      <c r="B88" s="392">
        <f>'C-1 On-Site WaterC'' Baseline'!AO86</f>
        <v>82</v>
      </c>
      <c r="C88" s="382" t="str">
        <f>IF(B88="","",VLOOKUP($B88,'C-1 On-Site WaterC'' Baseline'!$C$9:$R$257,2,FALSE))</f>
        <v>Ditches</v>
      </c>
      <c r="D88" s="382">
        <f>IF(C88="","",VLOOKUP($B88,'C-1 On-Site WaterC'' Baseline'!$C$9:$R$257,3,FALSE))</f>
        <v>0.36960622674870885</v>
      </c>
      <c r="E88" s="382" t="str">
        <f>IF(D88="","",VLOOKUP($B88,'C-1 On-Site WaterC'' Baseline'!$C$9:$R$257,4,FALSE))</f>
        <v>Medium</v>
      </c>
      <c r="F88" s="382">
        <f>IF(E88="","",VLOOKUP($B88,'C-1 On-Site WaterC'' Baseline'!$C$9:$R$257,5,FALSE))</f>
        <v>4</v>
      </c>
      <c r="G88" s="382" t="str">
        <f>IF(F88="","",VLOOKUP($B88,'C-1 On-Site WaterC'' Baseline'!$C$9:$R$257,6,FALSE))</f>
        <v>Poor</v>
      </c>
      <c r="H88" s="382">
        <f>IF(G88="","",VLOOKUP($B88,'C-1 On-Site WaterC'' Baseline'!$C$9:$R$257,7,FALSE))</f>
        <v>1</v>
      </c>
      <c r="I88" s="382" t="str">
        <f>IF(H88="","",VLOOKUP($B88,'C-1 On-Site WaterC'' Baseline'!$C$9:$R$257,8,FALSE))</f>
        <v>Area/compensation not in local strategy/ no local strategy</v>
      </c>
      <c r="J88" s="382" t="str">
        <f>IF(I88="","",VLOOKUP($B88,'C-1 On-Site WaterC'' Baseline'!$C$9:$R$257,9,FALSE))</f>
        <v>Low Strategic Significance</v>
      </c>
      <c r="K88" s="382">
        <f>IF(J88="","",VLOOKUP($B88,'C-1 On-Site WaterC'' Baseline'!$C$9:$R$257,10,FALSE))</f>
        <v>1</v>
      </c>
      <c r="L88" s="382" t="str">
        <f>IF(B88="","",VLOOKUP($B88,'C-1 On-Site WaterC'' Baseline'!$C$9:$R$257,15,FALSE))</f>
        <v>Same habitat required =</v>
      </c>
      <c r="M88" s="386">
        <f>IF(L88="","",VLOOKUP($B88,'C-1 On-Site WaterC'' Baseline'!$C$9:$R$257,16,FALSE))</f>
        <v>1.1088186802461266</v>
      </c>
      <c r="N88" s="320" t="str">
        <f t="shared" si="8"/>
        <v>Ditches</v>
      </c>
      <c r="O88" s="362" t="str">
        <f t="shared" si="10"/>
        <v>Medium - Medium</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Poor - Poor</v>
      </c>
      <c r="Q88" s="425">
        <f>IF(N88="","",VLOOKUP(B88,'C-1 On-Site WaterC'' Baseline'!$C$10:$AB$257,19,FALSE))</f>
        <v>0.36960622674870885</v>
      </c>
      <c r="R88" s="362" t="str">
        <f>IF(N88="","",VLOOKUP(N88,'G-7 WaterC'' Data'!$B$2:$G$8,2,FALSE))</f>
        <v>Medium</v>
      </c>
      <c r="S88" s="363">
        <f>IFERROR(VLOOKUP(R88,'G-7 WaterC'' Data'!$C$4:$D$8,2,FALSE),"")</f>
        <v>4</v>
      </c>
      <c r="T88" s="114" t="s">
        <v>329</v>
      </c>
      <c r="U88" s="363">
        <f>IFERROR(INDEX('G-7 WaterC'' Data'!$H$4:$L$8,MATCH(N88,'G-7 WaterC'' Data'!$B$4:$B$8,0),MATCH(T88,'G-7 WaterC'' Data'!$H$3:$L$3,0)),"")</f>
        <v>1</v>
      </c>
      <c r="V88" s="114" t="s">
        <v>1037</v>
      </c>
      <c r="W88" s="370" t="str">
        <f>IF(V88="","",IF(VLOOKUP(V88,'G-7 WaterC'' Data'!$AK$4:$AM$6,2,FALSE)=0,"Spatial Data Missing ⚠",VLOOKUP(V88,'G-7 WaterC'' Data'!$AK$4:$AM$6,2,FALSE)))</f>
        <v>Low Strategic Significance</v>
      </c>
      <c r="X88" s="363">
        <f>IF(V88="","",IF(VLOOKUP(V88,'G-7 WaterC'' Data'!$AK$4:$AM$6,3,FALSE)=0,"Spatial Data Missing ⚠",VLOOKUP(V88,'G-7 WaterC'' Data'!$AK$4:$AM$6,3,FALSE)))</f>
        <v>1</v>
      </c>
      <c r="Y88" s="362">
        <f>IFERROR(IF(OR(LEFT(P88,5)="Error",LEFT(O88,5)="Error ▲"),"Check Data ⚠",IF(F88&lt;S88,'G-7 WaterC'' Data'!$R$3,INDEX('G-7 WaterC'' Data'!$U$5:$Y$9,MATCH(G88,'G-7 WaterC'' Data'!$T$5:$T$9,0),MATCH(T88,'G-7 WaterC'' Data'!$U$4:$Y$4,0)))),"")</f>
        <v>1</v>
      </c>
      <c r="Z88" s="159">
        <v>0</v>
      </c>
      <c r="AA88" s="159">
        <v>0</v>
      </c>
      <c r="AB88" s="370" t="str">
        <f t="shared" si="11"/>
        <v>Standard time to target condition applied</v>
      </c>
      <c r="AC88" s="383">
        <f t="shared" si="12"/>
        <v>1</v>
      </c>
      <c r="AD88" s="422">
        <f>IFERROR(IF(AC88="Check Data ⚠","Check Data ⚠",VLOOKUP(AC88,'G-4 Temporal multipliers'!$A$4:$C$37,3,FALSE)),"")</f>
        <v>0.96499999999999997</v>
      </c>
      <c r="AE88" s="362" t="str">
        <f>IF(N88="","",VLOOKUP(N88,'G-7 WaterC'' Data'!$B$4:$G$8,5,FALSE))</f>
        <v>Medium</v>
      </c>
      <c r="AF88" s="370" t="str">
        <f t="shared" si="13"/>
        <v>Standard difficulty applied</v>
      </c>
      <c r="AG88" s="401" t="str">
        <f t="shared" si="14"/>
        <v>Medium</v>
      </c>
      <c r="AH88" s="363">
        <f t="shared" si="9"/>
        <v>0.67</v>
      </c>
      <c r="AI88" s="122" t="s">
        <v>1126</v>
      </c>
      <c r="AJ88" s="363">
        <f>IF(AI88="","",IF(VLOOKUP(AI88,'G-7 WaterC'' Data'!$AA$4:$AB$7,2,FALSE)=0,"Spatial Data Missing ⚠",VLOOKUP(AI88,'G-7 WaterC'' Data'!$AA$4:$AB$7,2,FALSE)))</f>
        <v>1</v>
      </c>
      <c r="AK88" s="123" t="s">
        <v>1153</v>
      </c>
      <c r="AL88" s="363">
        <f>IF(AK88="","",IF(VLOOKUP(AK88,'G-7 WaterC'' Data'!$AD$4:$AE$14,2,FALSE)=0,"Spatial Data Missing ⚠",VLOOKUP(AK88,'G-7 WaterC'' Data'!$AD$4:$AE$14,2,FALSE)))</f>
        <v>1</v>
      </c>
      <c r="AM88" s="405">
        <f t="shared" si="15"/>
        <v>1.4784249069948354</v>
      </c>
      <c r="AN88" s="117"/>
      <c r="AO88" s="118"/>
      <c r="AP88" s="120" t="s">
        <v>2083</v>
      </c>
      <c r="AV88" s="30" t="str">
        <f>IFERROR(INDEX('G-7 WaterC'' Data'!$AZ$3:$AZ$7,MATCH(N88,'G-7 WaterC'' Data'!$AY$3:$AY$7,0)),"")</f>
        <v>Rivercond1</v>
      </c>
    </row>
    <row r="89" spans="2:48" ht="28.5" x14ac:dyDescent="0.2">
      <c r="B89" s="392">
        <f>'C-1 On-Site WaterC'' Baseline'!AO87</f>
        <v>83</v>
      </c>
      <c r="C89" s="382" t="str">
        <f>IF(B89="","",VLOOKUP($B89,'C-1 On-Site WaterC'' Baseline'!$C$9:$R$257,2,FALSE))</f>
        <v>Ditches</v>
      </c>
      <c r="D89" s="382">
        <f>IF(C89="","",VLOOKUP($B89,'C-1 On-Site WaterC'' Baseline'!$C$9:$R$257,3,FALSE))</f>
        <v>0.29301549531913246</v>
      </c>
      <c r="E89" s="382" t="str">
        <f>IF(D89="","",VLOOKUP($B89,'C-1 On-Site WaterC'' Baseline'!$C$9:$R$257,4,FALSE))</f>
        <v>Medium</v>
      </c>
      <c r="F89" s="382">
        <f>IF(E89="","",VLOOKUP($B89,'C-1 On-Site WaterC'' Baseline'!$C$9:$R$257,5,FALSE))</f>
        <v>4</v>
      </c>
      <c r="G89" s="382" t="str">
        <f>IF(F89="","",VLOOKUP($B89,'C-1 On-Site WaterC'' Baseline'!$C$9:$R$257,6,FALSE))</f>
        <v>Poor</v>
      </c>
      <c r="H89" s="382">
        <f>IF(G89="","",VLOOKUP($B89,'C-1 On-Site WaterC'' Baseline'!$C$9:$R$257,7,FALSE))</f>
        <v>1</v>
      </c>
      <c r="I89" s="382" t="str">
        <f>IF(H89="","",VLOOKUP($B89,'C-1 On-Site WaterC'' Baseline'!$C$9:$R$257,8,FALSE))</f>
        <v>Formally identified in local strategy</v>
      </c>
      <c r="J89" s="382" t="str">
        <f>IF(I89="","",VLOOKUP($B89,'C-1 On-Site WaterC'' Baseline'!$C$9:$R$257,9,FALSE))</f>
        <v xml:space="preserve">High strategic significance </v>
      </c>
      <c r="K89" s="382">
        <f>IF(J89="","",VLOOKUP($B89,'C-1 On-Site WaterC'' Baseline'!$C$9:$R$257,10,FALSE))</f>
        <v>1.1499999999999999</v>
      </c>
      <c r="L89" s="382" t="str">
        <f>IF(B89="","",VLOOKUP($B89,'C-1 On-Site WaterC'' Baseline'!$C$9:$R$257,15,FALSE))</f>
        <v>Same habitat required =</v>
      </c>
      <c r="M89" s="386">
        <f>IF(L89="","",VLOOKUP($B89,'C-1 On-Site WaterC'' Baseline'!$C$9:$R$257,16,FALSE))</f>
        <v>1.0109034588510069</v>
      </c>
      <c r="N89" s="320" t="str">
        <f t="shared" si="8"/>
        <v>Ditches</v>
      </c>
      <c r="O89" s="362" t="str">
        <f t="shared" si="10"/>
        <v>Medium - Medium</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Poor - Poor</v>
      </c>
      <c r="Q89" s="425">
        <f>IF(N89="","",VLOOKUP(B89,'C-1 On-Site WaterC'' Baseline'!$C$10:$AB$257,19,FALSE))</f>
        <v>0.29301549531913246</v>
      </c>
      <c r="R89" s="362" t="str">
        <f>IF(N89="","",VLOOKUP(N89,'G-7 WaterC'' Data'!$B$2:$G$8,2,FALSE))</f>
        <v>Medium</v>
      </c>
      <c r="S89" s="363">
        <f>IFERROR(VLOOKUP(R89,'G-7 WaterC'' Data'!$C$4:$D$8,2,FALSE),"")</f>
        <v>4</v>
      </c>
      <c r="T89" s="114" t="s">
        <v>329</v>
      </c>
      <c r="U89" s="363">
        <f>IFERROR(INDEX('G-7 WaterC'' Data'!$H$4:$L$8,MATCH(N89,'G-7 WaterC'' Data'!$B$4:$B$8,0),MATCH(T89,'G-7 WaterC'' Data'!$H$3:$L$3,0)),"")</f>
        <v>1</v>
      </c>
      <c r="V89" s="114" t="s">
        <v>1029</v>
      </c>
      <c r="W89" s="370" t="str">
        <f>IF(V89="","",IF(VLOOKUP(V89,'G-7 WaterC'' Data'!$AK$4:$AM$6,2,FALSE)=0,"Spatial Data Missing ⚠",VLOOKUP(V89,'G-7 WaterC'' Data'!$AK$4:$AM$6,2,FALSE)))</f>
        <v xml:space="preserve">High strategic significance </v>
      </c>
      <c r="X89" s="363">
        <f>IF(V89="","",IF(VLOOKUP(V89,'G-7 WaterC'' Data'!$AK$4:$AM$6,3,FALSE)=0,"Spatial Data Missing ⚠",VLOOKUP(V89,'G-7 WaterC'' Data'!$AK$4:$AM$6,3,FALSE)))</f>
        <v>1.1499999999999999</v>
      </c>
      <c r="Y89" s="362">
        <f>IFERROR(IF(OR(LEFT(P89,5)="Error",LEFT(O89,5)="Error ▲"),"Check Data ⚠",IF(F89&lt;S89,'G-7 WaterC'' Data'!$R$3,INDEX('G-7 WaterC'' Data'!$U$5:$Y$9,MATCH(G89,'G-7 WaterC'' Data'!$T$5:$T$9,0),MATCH(T89,'G-7 WaterC'' Data'!$U$4:$Y$4,0)))),"")</f>
        <v>1</v>
      </c>
      <c r="Z89" s="159">
        <v>0</v>
      </c>
      <c r="AA89" s="159">
        <v>0</v>
      </c>
      <c r="AB89" s="370" t="str">
        <f t="shared" si="11"/>
        <v>Standard time to target condition applied</v>
      </c>
      <c r="AC89" s="383">
        <f t="shared" si="12"/>
        <v>1</v>
      </c>
      <c r="AD89" s="422">
        <f>IFERROR(IF(AC89="Check Data ⚠","Check Data ⚠",VLOOKUP(AC89,'G-4 Temporal multipliers'!$A$4:$C$37,3,FALSE)),"")</f>
        <v>0.96499999999999997</v>
      </c>
      <c r="AE89" s="362" t="str">
        <f>IF(N89="","",VLOOKUP(N89,'G-7 WaterC'' Data'!$B$4:$G$8,5,FALSE))</f>
        <v>Medium</v>
      </c>
      <c r="AF89" s="370" t="str">
        <f t="shared" si="13"/>
        <v>Standard difficulty applied</v>
      </c>
      <c r="AG89" s="401" t="str">
        <f t="shared" si="14"/>
        <v>Medium</v>
      </c>
      <c r="AH89" s="363">
        <f t="shared" si="9"/>
        <v>0.67</v>
      </c>
      <c r="AI89" s="122" t="s">
        <v>1126</v>
      </c>
      <c r="AJ89" s="363">
        <f>IF(AI89="","",IF(VLOOKUP(AI89,'G-7 WaterC'' Data'!$AA$4:$AB$7,2,FALSE)=0,"Spatial Data Missing ⚠",VLOOKUP(AI89,'G-7 WaterC'' Data'!$AA$4:$AB$7,2,FALSE)))</f>
        <v>1</v>
      </c>
      <c r="AK89" s="123" t="s">
        <v>1142</v>
      </c>
      <c r="AL89" s="363">
        <f>IF(AK89="","",IF(VLOOKUP(AK89,'G-7 WaterC'' Data'!$AD$4:$AE$14,2,FALSE)=0,"Spatial Data Missing ⚠",VLOOKUP(AK89,'G-7 WaterC'' Data'!$AD$4:$AE$14,2,FALSE)))</f>
        <v>0.87</v>
      </c>
      <c r="AM89" s="405">
        <f t="shared" si="15"/>
        <v>1.1726480122671681</v>
      </c>
      <c r="AN89" s="117"/>
      <c r="AO89" s="118"/>
      <c r="AP89" s="120" t="s">
        <v>2084</v>
      </c>
      <c r="AV89" s="30" t="str">
        <f>IFERROR(INDEX('G-7 WaterC'' Data'!$AZ$3:$AZ$7,MATCH(N89,'G-7 WaterC'' Data'!$AY$3:$AY$7,0)),"")</f>
        <v>Rivercond1</v>
      </c>
    </row>
    <row r="90" spans="2:48" ht="28.5" x14ac:dyDescent="0.2">
      <c r="B90" s="392">
        <f>'C-1 On-Site WaterC'' Baseline'!AO88</f>
        <v>84</v>
      </c>
      <c r="C90" s="382" t="str">
        <f>IF(B90="","",VLOOKUP($B90,'C-1 On-Site WaterC'' Baseline'!$C$9:$R$257,2,FALSE))</f>
        <v>Ditches</v>
      </c>
      <c r="D90" s="382">
        <f>IF(C90="","",VLOOKUP($B90,'C-1 On-Site WaterC'' Baseline'!$C$9:$R$257,3,FALSE))</f>
        <v>0.34643710476353112</v>
      </c>
      <c r="E90" s="382" t="str">
        <f>IF(D90="","",VLOOKUP($B90,'C-1 On-Site WaterC'' Baseline'!$C$9:$R$257,4,FALSE))</f>
        <v>Medium</v>
      </c>
      <c r="F90" s="382">
        <f>IF(E90="","",VLOOKUP($B90,'C-1 On-Site WaterC'' Baseline'!$C$9:$R$257,5,FALSE))</f>
        <v>4</v>
      </c>
      <c r="G90" s="382" t="str">
        <f>IF(F90="","",VLOOKUP($B90,'C-1 On-Site WaterC'' Baseline'!$C$9:$R$257,6,FALSE))</f>
        <v>Moderate</v>
      </c>
      <c r="H90" s="382">
        <f>IF(G90="","",VLOOKUP($B90,'C-1 On-Site WaterC'' Baseline'!$C$9:$R$257,7,FALSE))</f>
        <v>2</v>
      </c>
      <c r="I90" s="382" t="str">
        <f>IF(H90="","",VLOOKUP($B90,'C-1 On-Site WaterC'' Baseline'!$C$9:$R$257,8,FALSE))</f>
        <v>Formally identified in local strategy</v>
      </c>
      <c r="J90" s="382" t="str">
        <f>IF(I90="","",VLOOKUP($B90,'C-1 On-Site WaterC'' Baseline'!$C$9:$R$257,9,FALSE))</f>
        <v xml:space="preserve">High strategic significance </v>
      </c>
      <c r="K90" s="382">
        <f>IF(J90="","",VLOOKUP($B90,'C-1 On-Site WaterC'' Baseline'!$C$9:$R$257,10,FALSE))</f>
        <v>1.1499999999999999</v>
      </c>
      <c r="L90" s="382" t="str">
        <f>IF(B90="","",VLOOKUP($B90,'C-1 On-Site WaterC'' Baseline'!$C$9:$R$257,15,FALSE))</f>
        <v>Same habitat required =</v>
      </c>
      <c r="M90" s="386">
        <f>IF(L90="","",VLOOKUP($B90,'C-1 On-Site WaterC'' Baseline'!$C$9:$R$257,16,FALSE))</f>
        <v>2.3904160228683646</v>
      </c>
      <c r="N90" s="320" t="str">
        <f t="shared" si="8"/>
        <v>Ditches</v>
      </c>
      <c r="O90" s="362" t="str">
        <f t="shared" si="10"/>
        <v>Medium - Medium</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Moderate - Moderate</v>
      </c>
      <c r="Q90" s="425">
        <f>IF(N90="","",VLOOKUP(B90,'C-1 On-Site WaterC'' Baseline'!$C$10:$AB$257,19,FALSE))</f>
        <v>0.34643710476353112</v>
      </c>
      <c r="R90" s="362" t="str">
        <f>IF(N90="","",VLOOKUP(N90,'G-7 WaterC'' Data'!$B$2:$G$8,2,FALSE))</f>
        <v>Medium</v>
      </c>
      <c r="S90" s="363">
        <f>IFERROR(VLOOKUP(R90,'G-7 WaterC'' Data'!$C$4:$D$8,2,FALSE),"")</f>
        <v>4</v>
      </c>
      <c r="T90" s="114" t="s">
        <v>67</v>
      </c>
      <c r="U90" s="363">
        <f>IFERROR(INDEX('G-7 WaterC'' Data'!$H$4:$L$8,MATCH(N90,'G-7 WaterC'' Data'!$B$4:$B$8,0),MATCH(T90,'G-7 WaterC'' Data'!$H$3:$L$3,0)),"")</f>
        <v>2</v>
      </c>
      <c r="V90" s="114" t="s">
        <v>1029</v>
      </c>
      <c r="W90" s="370" t="str">
        <f>IF(V90="","",IF(VLOOKUP(V90,'G-7 WaterC'' Data'!$AK$4:$AM$6,2,FALSE)=0,"Spatial Data Missing ⚠",VLOOKUP(V90,'G-7 WaterC'' Data'!$AK$4:$AM$6,2,FALSE)))</f>
        <v xml:space="preserve">High strategic significance </v>
      </c>
      <c r="X90" s="363">
        <f>IF(V90="","",IF(VLOOKUP(V90,'G-7 WaterC'' Data'!$AK$4:$AM$6,3,FALSE)=0,"Spatial Data Missing ⚠",VLOOKUP(V90,'G-7 WaterC'' Data'!$AK$4:$AM$6,3,FALSE)))</f>
        <v>1.1499999999999999</v>
      </c>
      <c r="Y90" s="362">
        <f>IFERROR(IF(OR(LEFT(P90,5)="Error",LEFT(O90,5)="Error ▲"),"Check Data ⚠",IF(F90&lt;S90,'G-7 WaterC'' Data'!$R$3,INDEX('G-7 WaterC'' Data'!$U$5:$Y$9,MATCH(G90,'G-7 WaterC'' Data'!$T$5:$T$9,0),MATCH(T90,'G-7 WaterC'' Data'!$U$4:$Y$4,0)))),"")</f>
        <v>1</v>
      </c>
      <c r="Z90" s="159">
        <v>0</v>
      </c>
      <c r="AA90" s="159">
        <v>0</v>
      </c>
      <c r="AB90" s="370" t="str">
        <f t="shared" si="11"/>
        <v>Standard time to target condition applied</v>
      </c>
      <c r="AC90" s="383">
        <f t="shared" si="12"/>
        <v>1</v>
      </c>
      <c r="AD90" s="422">
        <f>IFERROR(IF(AC90="Check Data ⚠","Check Data ⚠",VLOOKUP(AC90,'G-4 Temporal multipliers'!$A$4:$C$37,3,FALSE)),"")</f>
        <v>0.96499999999999997</v>
      </c>
      <c r="AE90" s="362" t="str">
        <f>IF(N90="","",VLOOKUP(N90,'G-7 WaterC'' Data'!$B$4:$G$8,5,FALSE))</f>
        <v>Medium</v>
      </c>
      <c r="AF90" s="370" t="str">
        <f t="shared" si="13"/>
        <v>Standard difficulty applied</v>
      </c>
      <c r="AG90" s="401" t="str">
        <f t="shared" si="14"/>
        <v>Medium</v>
      </c>
      <c r="AH90" s="363">
        <f t="shared" si="9"/>
        <v>0.67</v>
      </c>
      <c r="AI90" s="122" t="s">
        <v>1126</v>
      </c>
      <c r="AJ90" s="363">
        <f>IF(AI90="","",IF(VLOOKUP(AI90,'G-7 WaterC'' Data'!$AA$4:$AB$7,2,FALSE)=0,"Spatial Data Missing ⚠",VLOOKUP(AI90,'G-7 WaterC'' Data'!$AA$4:$AB$7,2,FALSE)))</f>
        <v>1</v>
      </c>
      <c r="AK90" s="123" t="s">
        <v>1142</v>
      </c>
      <c r="AL90" s="363">
        <f>IF(AK90="","",IF(VLOOKUP(AK90,'G-7 WaterC'' Data'!$AD$4:$AE$14,2,FALSE)=0,"Spatial Data Missing ⚠",VLOOKUP(AK90,'G-7 WaterC'' Data'!$AD$4:$AE$14,2,FALSE)))</f>
        <v>0.87</v>
      </c>
      <c r="AM90" s="405">
        <f t="shared" si="15"/>
        <v>2.7728825865273028</v>
      </c>
      <c r="AN90" s="117"/>
      <c r="AO90" s="118"/>
      <c r="AP90" s="120" t="s">
        <v>2085</v>
      </c>
      <c r="AV90" s="30" t="str">
        <f>IFERROR(INDEX('G-7 WaterC'' Data'!$AZ$3:$AZ$7,MATCH(N90,'G-7 WaterC'' Data'!$AY$3:$AY$7,0)),"")</f>
        <v>Rivercond1</v>
      </c>
    </row>
    <row r="91" spans="2:48" ht="28.5" x14ac:dyDescent="0.2">
      <c r="B91" s="392">
        <f>'C-1 On-Site WaterC'' Baseline'!AO89</f>
        <v>85</v>
      </c>
      <c r="C91" s="382" t="str">
        <f>IF(B91="","",VLOOKUP($B91,'C-1 On-Site WaterC'' Baseline'!$C$9:$R$257,2,FALSE))</f>
        <v>Ditches</v>
      </c>
      <c r="D91" s="382">
        <f>IF(C91="","",VLOOKUP($B91,'C-1 On-Site WaterC'' Baseline'!$C$9:$R$257,3,FALSE))</f>
        <v>0.42575503830153921</v>
      </c>
      <c r="E91" s="382" t="str">
        <f>IF(D91="","",VLOOKUP($B91,'C-1 On-Site WaterC'' Baseline'!$C$9:$R$257,4,FALSE))</f>
        <v>Medium</v>
      </c>
      <c r="F91" s="382">
        <f>IF(E91="","",VLOOKUP($B91,'C-1 On-Site WaterC'' Baseline'!$C$9:$R$257,5,FALSE))</f>
        <v>4</v>
      </c>
      <c r="G91" s="382" t="str">
        <f>IF(F91="","",VLOOKUP($B91,'C-1 On-Site WaterC'' Baseline'!$C$9:$R$257,6,FALSE))</f>
        <v>Poor</v>
      </c>
      <c r="H91" s="382">
        <f>IF(G91="","",VLOOKUP($B91,'C-1 On-Site WaterC'' Baseline'!$C$9:$R$257,7,FALSE))</f>
        <v>1</v>
      </c>
      <c r="I91" s="382" t="str">
        <f>IF(H91="","",VLOOKUP($B91,'C-1 On-Site WaterC'' Baseline'!$C$9:$R$257,8,FALSE))</f>
        <v>Area/compensation not in local strategy/ no local strategy</v>
      </c>
      <c r="J91" s="382" t="str">
        <f>IF(I91="","",VLOOKUP($B91,'C-1 On-Site WaterC'' Baseline'!$C$9:$R$257,9,FALSE))</f>
        <v>Low Strategic Significance</v>
      </c>
      <c r="K91" s="382">
        <f>IF(J91="","",VLOOKUP($B91,'C-1 On-Site WaterC'' Baseline'!$C$9:$R$257,10,FALSE))</f>
        <v>1</v>
      </c>
      <c r="L91" s="382" t="str">
        <f>IF(B91="","",VLOOKUP($B91,'C-1 On-Site WaterC'' Baseline'!$C$9:$R$257,15,FALSE))</f>
        <v>Same habitat required =</v>
      </c>
      <c r="M91" s="386">
        <f>IF(L91="","",VLOOKUP($B91,'C-1 On-Site WaterC'' Baseline'!$C$9:$R$257,16,FALSE))</f>
        <v>1.2772651149046177</v>
      </c>
      <c r="N91" s="320" t="str">
        <f t="shared" si="8"/>
        <v>Ditches</v>
      </c>
      <c r="O91" s="362" t="str">
        <f t="shared" si="10"/>
        <v>Medium - Medium</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Poor - Poor</v>
      </c>
      <c r="Q91" s="425">
        <f>IF(N91="","",VLOOKUP(B91,'C-1 On-Site WaterC'' Baseline'!$C$10:$AB$257,19,FALSE))</f>
        <v>0.42575503830153921</v>
      </c>
      <c r="R91" s="362" t="str">
        <f>IF(N91="","",VLOOKUP(N91,'G-7 WaterC'' Data'!$B$2:$G$8,2,FALSE))</f>
        <v>Medium</v>
      </c>
      <c r="S91" s="363">
        <f>IFERROR(VLOOKUP(R91,'G-7 WaterC'' Data'!$C$4:$D$8,2,FALSE),"")</f>
        <v>4</v>
      </c>
      <c r="T91" s="114" t="s">
        <v>329</v>
      </c>
      <c r="U91" s="363">
        <f>IFERROR(INDEX('G-7 WaterC'' Data'!$H$4:$L$8,MATCH(N91,'G-7 WaterC'' Data'!$B$4:$B$8,0),MATCH(T91,'G-7 WaterC'' Data'!$H$3:$L$3,0)),"")</f>
        <v>1</v>
      </c>
      <c r="V91" s="114" t="s">
        <v>1037</v>
      </c>
      <c r="W91" s="370" t="str">
        <f>IF(V91="","",IF(VLOOKUP(V91,'G-7 WaterC'' Data'!$AK$4:$AM$6,2,FALSE)=0,"Spatial Data Missing ⚠",VLOOKUP(V91,'G-7 WaterC'' Data'!$AK$4:$AM$6,2,FALSE)))</f>
        <v>Low Strategic Significance</v>
      </c>
      <c r="X91" s="363">
        <f>IF(V91="","",IF(VLOOKUP(V91,'G-7 WaterC'' Data'!$AK$4:$AM$6,3,FALSE)=0,"Spatial Data Missing ⚠",VLOOKUP(V91,'G-7 WaterC'' Data'!$AK$4:$AM$6,3,FALSE)))</f>
        <v>1</v>
      </c>
      <c r="Y91" s="362">
        <f>IFERROR(IF(OR(LEFT(P91,5)="Error",LEFT(O91,5)="Error ▲"),"Check Data ⚠",IF(F91&lt;S91,'G-7 WaterC'' Data'!$R$3,INDEX('G-7 WaterC'' Data'!$U$5:$Y$9,MATCH(G91,'G-7 WaterC'' Data'!$T$5:$T$9,0),MATCH(T91,'G-7 WaterC'' Data'!$U$4:$Y$4,0)))),"")</f>
        <v>1</v>
      </c>
      <c r="Z91" s="159">
        <v>0</v>
      </c>
      <c r="AA91" s="159">
        <v>0</v>
      </c>
      <c r="AB91" s="370" t="str">
        <f t="shared" si="11"/>
        <v>Standard time to target condition applied</v>
      </c>
      <c r="AC91" s="383">
        <f t="shared" si="12"/>
        <v>1</v>
      </c>
      <c r="AD91" s="422">
        <f>IFERROR(IF(AC91="Check Data ⚠","Check Data ⚠",VLOOKUP(AC91,'G-4 Temporal multipliers'!$A$4:$C$37,3,FALSE)),"")</f>
        <v>0.96499999999999997</v>
      </c>
      <c r="AE91" s="362" t="str">
        <f>IF(N91="","",VLOOKUP(N91,'G-7 WaterC'' Data'!$B$4:$G$8,5,FALSE))</f>
        <v>Medium</v>
      </c>
      <c r="AF91" s="370" t="str">
        <f t="shared" si="13"/>
        <v>Standard difficulty applied</v>
      </c>
      <c r="AG91" s="401" t="str">
        <f t="shared" si="14"/>
        <v>Medium</v>
      </c>
      <c r="AH91" s="363">
        <f t="shared" si="9"/>
        <v>0.67</v>
      </c>
      <c r="AI91" s="122" t="s">
        <v>1126</v>
      </c>
      <c r="AJ91" s="363">
        <f>IF(AI91="","",IF(VLOOKUP(AI91,'G-7 WaterC'' Data'!$AA$4:$AB$7,2,FALSE)=0,"Spatial Data Missing ⚠",VLOOKUP(AI91,'G-7 WaterC'' Data'!$AA$4:$AB$7,2,FALSE)))</f>
        <v>1</v>
      </c>
      <c r="AK91" s="123" t="s">
        <v>1153</v>
      </c>
      <c r="AL91" s="363">
        <f>IF(AK91="","",IF(VLOOKUP(AK91,'G-7 WaterC'' Data'!$AD$4:$AE$14,2,FALSE)=0,"Spatial Data Missing ⚠",VLOOKUP(AK91,'G-7 WaterC'' Data'!$AD$4:$AE$14,2,FALSE)))</f>
        <v>1</v>
      </c>
      <c r="AM91" s="405">
        <f t="shared" si="15"/>
        <v>1.7030201532061569</v>
      </c>
      <c r="AN91" s="117"/>
      <c r="AO91" s="118"/>
      <c r="AP91" s="120" t="s">
        <v>2086</v>
      </c>
      <c r="AV91" s="30" t="str">
        <f>IFERROR(INDEX('G-7 WaterC'' Data'!$AZ$3:$AZ$7,MATCH(N91,'G-7 WaterC'' Data'!$AY$3:$AY$7,0)),"")</f>
        <v>Rivercond1</v>
      </c>
    </row>
    <row r="92" spans="2:48" ht="28.5" x14ac:dyDescent="0.2">
      <c r="B92" s="392">
        <f>'C-1 On-Site WaterC'' Baseline'!AO90</f>
        <v>87</v>
      </c>
      <c r="C92" s="382" t="str">
        <f>IF(B92="","",VLOOKUP($B92,'C-1 On-Site WaterC'' Baseline'!$C$9:$R$257,2,FALSE))</f>
        <v>Ditches</v>
      </c>
      <c r="D92" s="382">
        <f>IF(C92="","",VLOOKUP($B92,'C-1 On-Site WaterC'' Baseline'!$C$9:$R$257,3,FALSE))</f>
        <v>0.36548608442246922</v>
      </c>
      <c r="E92" s="382" t="str">
        <f>IF(D92="","",VLOOKUP($B92,'C-1 On-Site WaterC'' Baseline'!$C$9:$R$257,4,FALSE))</f>
        <v>Medium</v>
      </c>
      <c r="F92" s="382">
        <f>IF(E92="","",VLOOKUP($B92,'C-1 On-Site WaterC'' Baseline'!$C$9:$R$257,5,FALSE))</f>
        <v>4</v>
      </c>
      <c r="G92" s="382" t="str">
        <f>IF(F92="","",VLOOKUP($B92,'C-1 On-Site WaterC'' Baseline'!$C$9:$R$257,6,FALSE))</f>
        <v>Poor</v>
      </c>
      <c r="H92" s="382">
        <f>IF(G92="","",VLOOKUP($B92,'C-1 On-Site WaterC'' Baseline'!$C$9:$R$257,7,FALSE))</f>
        <v>1</v>
      </c>
      <c r="I92" s="382" t="str">
        <f>IF(H92="","",VLOOKUP($B92,'C-1 On-Site WaterC'' Baseline'!$C$9:$R$257,8,FALSE))</f>
        <v>Area/compensation not in local strategy/ no local strategy</v>
      </c>
      <c r="J92" s="382" t="str">
        <f>IF(I92="","",VLOOKUP($B92,'C-1 On-Site WaterC'' Baseline'!$C$9:$R$257,9,FALSE))</f>
        <v>Low Strategic Significance</v>
      </c>
      <c r="K92" s="382">
        <f>IF(J92="","",VLOOKUP($B92,'C-1 On-Site WaterC'' Baseline'!$C$9:$R$257,10,FALSE))</f>
        <v>1</v>
      </c>
      <c r="L92" s="382" t="str">
        <f>IF(B92="","",VLOOKUP($B92,'C-1 On-Site WaterC'' Baseline'!$C$9:$R$257,15,FALSE))</f>
        <v>Same habitat required =</v>
      </c>
      <c r="M92" s="386">
        <f>IF(L92="","",VLOOKUP($B92,'C-1 On-Site WaterC'' Baseline'!$C$9:$R$257,16,FALSE))</f>
        <v>1.0964582532674076</v>
      </c>
      <c r="N92" s="320" t="str">
        <f t="shared" si="8"/>
        <v>Ditches</v>
      </c>
      <c r="O92" s="362" t="str">
        <f t="shared" si="10"/>
        <v>Medium - Medium</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Poor - Poor</v>
      </c>
      <c r="Q92" s="425">
        <f>IF(N92="","",VLOOKUP(B92,'C-1 On-Site WaterC'' Baseline'!$C$10:$AB$257,19,FALSE))</f>
        <v>0.36548608442246922</v>
      </c>
      <c r="R92" s="362" t="str">
        <f>IF(N92="","",VLOOKUP(N92,'G-7 WaterC'' Data'!$B$2:$G$8,2,FALSE))</f>
        <v>Medium</v>
      </c>
      <c r="S92" s="363">
        <f>IFERROR(VLOOKUP(R92,'G-7 WaterC'' Data'!$C$4:$D$8,2,FALSE),"")</f>
        <v>4</v>
      </c>
      <c r="T92" s="114" t="s">
        <v>329</v>
      </c>
      <c r="U92" s="363">
        <f>IFERROR(INDEX('G-7 WaterC'' Data'!$H$4:$L$8,MATCH(N92,'G-7 WaterC'' Data'!$B$4:$B$8,0),MATCH(T92,'G-7 WaterC'' Data'!$H$3:$L$3,0)),"")</f>
        <v>1</v>
      </c>
      <c r="V92" s="114" t="s">
        <v>1037</v>
      </c>
      <c r="W92" s="370" t="str">
        <f>IF(V92="","",IF(VLOOKUP(V92,'G-7 WaterC'' Data'!$AK$4:$AM$6,2,FALSE)=0,"Spatial Data Missing ⚠",VLOOKUP(V92,'G-7 WaterC'' Data'!$AK$4:$AM$6,2,FALSE)))</f>
        <v>Low Strategic Significance</v>
      </c>
      <c r="X92" s="363">
        <f>IF(V92="","",IF(VLOOKUP(V92,'G-7 WaterC'' Data'!$AK$4:$AM$6,3,FALSE)=0,"Spatial Data Missing ⚠",VLOOKUP(V92,'G-7 WaterC'' Data'!$AK$4:$AM$6,3,FALSE)))</f>
        <v>1</v>
      </c>
      <c r="Y92" s="362">
        <f>IFERROR(IF(OR(LEFT(P92,5)="Error",LEFT(O92,5)="Error ▲"),"Check Data ⚠",IF(F92&lt;S92,'G-7 WaterC'' Data'!$R$3,INDEX('G-7 WaterC'' Data'!$U$5:$Y$9,MATCH(G92,'G-7 WaterC'' Data'!$T$5:$T$9,0),MATCH(T92,'G-7 WaterC'' Data'!$U$4:$Y$4,0)))),"")</f>
        <v>1</v>
      </c>
      <c r="Z92" s="159">
        <v>0</v>
      </c>
      <c r="AA92" s="159">
        <v>0</v>
      </c>
      <c r="AB92" s="370" t="str">
        <f t="shared" si="11"/>
        <v>Standard time to target condition applied</v>
      </c>
      <c r="AC92" s="383">
        <f t="shared" si="12"/>
        <v>1</v>
      </c>
      <c r="AD92" s="422">
        <f>IFERROR(IF(AC92="Check Data ⚠","Check Data ⚠",VLOOKUP(AC92,'G-4 Temporal multipliers'!$A$4:$C$37,3,FALSE)),"")</f>
        <v>0.96499999999999997</v>
      </c>
      <c r="AE92" s="362" t="str">
        <f>IF(N92="","",VLOOKUP(N92,'G-7 WaterC'' Data'!$B$4:$G$8,5,FALSE))</f>
        <v>Medium</v>
      </c>
      <c r="AF92" s="370" t="str">
        <f t="shared" si="13"/>
        <v>Standard difficulty applied</v>
      </c>
      <c r="AG92" s="401" t="str">
        <f t="shared" si="14"/>
        <v>Medium</v>
      </c>
      <c r="AH92" s="363">
        <f t="shared" si="9"/>
        <v>0.67</v>
      </c>
      <c r="AI92" s="122" t="s">
        <v>1126</v>
      </c>
      <c r="AJ92" s="363">
        <f>IF(AI92="","",IF(VLOOKUP(AI92,'G-7 WaterC'' Data'!$AA$4:$AB$7,2,FALSE)=0,"Spatial Data Missing ⚠",VLOOKUP(AI92,'G-7 WaterC'' Data'!$AA$4:$AB$7,2,FALSE)))</f>
        <v>1</v>
      </c>
      <c r="AK92" s="123" t="s">
        <v>1142</v>
      </c>
      <c r="AL92" s="363">
        <f>IF(AK92="","",IF(VLOOKUP(AK92,'G-7 WaterC'' Data'!$AD$4:$AE$14,2,FALSE)=0,"Spatial Data Missing ⚠",VLOOKUP(AK92,'G-7 WaterC'' Data'!$AD$4:$AE$14,2,FALSE)))</f>
        <v>0.87</v>
      </c>
      <c r="AM92" s="405">
        <f t="shared" si="15"/>
        <v>1.2718915737901928</v>
      </c>
      <c r="AN92" s="117"/>
      <c r="AO92" s="118"/>
      <c r="AP92" s="120" t="s">
        <v>2088</v>
      </c>
      <c r="AV92" s="30" t="str">
        <f>IFERROR(INDEX('G-7 WaterC'' Data'!$AZ$3:$AZ$7,MATCH(N92,'G-7 WaterC'' Data'!$AY$3:$AY$7,0)),"")</f>
        <v>Rivercond1</v>
      </c>
    </row>
    <row r="93" spans="2:48" ht="28.5" x14ac:dyDescent="0.2">
      <c r="B93" s="392">
        <f>'C-1 On-Site WaterC'' Baseline'!AO91</f>
        <v>88</v>
      </c>
      <c r="C93" s="382" t="str">
        <f>IF(B93="","",VLOOKUP($B93,'C-1 On-Site WaterC'' Baseline'!$C$9:$R$257,2,FALSE))</f>
        <v>Ditches</v>
      </c>
      <c r="D93" s="382">
        <f>IF(C93="","",VLOOKUP($B93,'C-1 On-Site WaterC'' Baseline'!$C$9:$R$257,3,FALSE))</f>
        <v>0.23096108070261973</v>
      </c>
      <c r="E93" s="382" t="str">
        <f>IF(D93="","",VLOOKUP($B93,'C-1 On-Site WaterC'' Baseline'!$C$9:$R$257,4,FALSE))</f>
        <v>Medium</v>
      </c>
      <c r="F93" s="382">
        <f>IF(E93="","",VLOOKUP($B93,'C-1 On-Site WaterC'' Baseline'!$C$9:$R$257,5,FALSE))</f>
        <v>4</v>
      </c>
      <c r="G93" s="382" t="str">
        <f>IF(F93="","",VLOOKUP($B93,'C-1 On-Site WaterC'' Baseline'!$C$9:$R$257,6,FALSE))</f>
        <v>Poor</v>
      </c>
      <c r="H93" s="382">
        <f>IF(G93="","",VLOOKUP($B93,'C-1 On-Site WaterC'' Baseline'!$C$9:$R$257,7,FALSE))</f>
        <v>1</v>
      </c>
      <c r="I93" s="382" t="str">
        <f>IF(H93="","",VLOOKUP($B93,'C-1 On-Site WaterC'' Baseline'!$C$9:$R$257,8,FALSE))</f>
        <v>Area/compensation not in local strategy/ no local strategy</v>
      </c>
      <c r="J93" s="382" t="str">
        <f>IF(I93="","",VLOOKUP($B93,'C-1 On-Site WaterC'' Baseline'!$C$9:$R$257,9,FALSE))</f>
        <v>Low Strategic Significance</v>
      </c>
      <c r="K93" s="382">
        <f>IF(J93="","",VLOOKUP($B93,'C-1 On-Site WaterC'' Baseline'!$C$9:$R$257,10,FALSE))</f>
        <v>1</v>
      </c>
      <c r="L93" s="382" t="str">
        <f>IF(B93="","",VLOOKUP($B93,'C-1 On-Site WaterC'' Baseline'!$C$9:$R$257,15,FALSE))</f>
        <v>Same habitat required =</v>
      </c>
      <c r="M93" s="386">
        <f>IF(L93="","",VLOOKUP($B93,'C-1 On-Site WaterC'' Baseline'!$C$9:$R$257,16,FALSE))</f>
        <v>0.69288324210785923</v>
      </c>
      <c r="N93" s="320" t="str">
        <f t="shared" si="8"/>
        <v>Ditches</v>
      </c>
      <c r="O93" s="362" t="str">
        <f t="shared" si="10"/>
        <v>Medium - Medium</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Poor - Poor</v>
      </c>
      <c r="Q93" s="425">
        <f>IF(N93="","",VLOOKUP(B93,'C-1 On-Site WaterC'' Baseline'!$C$10:$AB$257,19,FALSE))</f>
        <v>0.23096108070261973</v>
      </c>
      <c r="R93" s="362" t="str">
        <f>IF(N93="","",VLOOKUP(N93,'G-7 WaterC'' Data'!$B$2:$G$8,2,FALSE))</f>
        <v>Medium</v>
      </c>
      <c r="S93" s="363">
        <f>IFERROR(VLOOKUP(R93,'G-7 WaterC'' Data'!$C$4:$D$8,2,FALSE),"")</f>
        <v>4</v>
      </c>
      <c r="T93" s="114" t="s">
        <v>329</v>
      </c>
      <c r="U93" s="363">
        <f>IFERROR(INDEX('G-7 WaterC'' Data'!$H$4:$L$8,MATCH(N93,'G-7 WaterC'' Data'!$B$4:$B$8,0),MATCH(T93,'G-7 WaterC'' Data'!$H$3:$L$3,0)),"")</f>
        <v>1</v>
      </c>
      <c r="V93" s="114" t="s">
        <v>1037</v>
      </c>
      <c r="W93" s="370" t="str">
        <f>IF(V93="","",IF(VLOOKUP(V93,'G-7 WaterC'' Data'!$AK$4:$AM$6,2,FALSE)=0,"Spatial Data Missing ⚠",VLOOKUP(V93,'G-7 WaterC'' Data'!$AK$4:$AM$6,2,FALSE)))</f>
        <v>Low Strategic Significance</v>
      </c>
      <c r="X93" s="363">
        <f>IF(V93="","",IF(VLOOKUP(V93,'G-7 WaterC'' Data'!$AK$4:$AM$6,3,FALSE)=0,"Spatial Data Missing ⚠",VLOOKUP(V93,'G-7 WaterC'' Data'!$AK$4:$AM$6,3,FALSE)))</f>
        <v>1</v>
      </c>
      <c r="Y93" s="362">
        <f>IFERROR(IF(OR(LEFT(P93,5)="Error",LEFT(O93,5)="Error ▲"),"Check Data ⚠",IF(F93&lt;S93,'G-7 WaterC'' Data'!$R$3,INDEX('G-7 WaterC'' Data'!$U$5:$Y$9,MATCH(G93,'G-7 WaterC'' Data'!$T$5:$T$9,0),MATCH(T93,'G-7 WaterC'' Data'!$U$4:$Y$4,0)))),"")</f>
        <v>1</v>
      </c>
      <c r="Z93" s="159">
        <v>0</v>
      </c>
      <c r="AA93" s="159">
        <v>0</v>
      </c>
      <c r="AB93" s="370" t="str">
        <f t="shared" si="11"/>
        <v>Standard time to target condition applied</v>
      </c>
      <c r="AC93" s="383">
        <f t="shared" si="12"/>
        <v>1</v>
      </c>
      <c r="AD93" s="422">
        <f>IFERROR(IF(AC93="Check Data ⚠","Check Data ⚠",VLOOKUP(AC93,'G-4 Temporal multipliers'!$A$4:$C$37,3,FALSE)),"")</f>
        <v>0.96499999999999997</v>
      </c>
      <c r="AE93" s="362" t="str">
        <f>IF(N93="","",VLOOKUP(N93,'G-7 WaterC'' Data'!$B$4:$G$8,5,FALSE))</f>
        <v>Medium</v>
      </c>
      <c r="AF93" s="370" t="str">
        <f t="shared" si="13"/>
        <v>Standard difficulty applied</v>
      </c>
      <c r="AG93" s="401" t="str">
        <f t="shared" si="14"/>
        <v>Medium</v>
      </c>
      <c r="AH93" s="363">
        <f t="shared" si="9"/>
        <v>0.67</v>
      </c>
      <c r="AI93" s="122" t="s">
        <v>1126</v>
      </c>
      <c r="AJ93" s="363">
        <f>IF(AI93="","",IF(VLOOKUP(AI93,'G-7 WaterC'' Data'!$AA$4:$AB$7,2,FALSE)=0,"Spatial Data Missing ⚠",VLOOKUP(AI93,'G-7 WaterC'' Data'!$AA$4:$AB$7,2,FALSE)))</f>
        <v>1</v>
      </c>
      <c r="AK93" s="123" t="s">
        <v>1153</v>
      </c>
      <c r="AL93" s="363">
        <f>IF(AK93="","",IF(VLOOKUP(AK93,'G-7 WaterC'' Data'!$AD$4:$AE$14,2,FALSE)=0,"Spatial Data Missing ⚠",VLOOKUP(AK93,'G-7 WaterC'' Data'!$AD$4:$AE$14,2,FALSE)))</f>
        <v>1</v>
      </c>
      <c r="AM93" s="405">
        <f t="shared" si="15"/>
        <v>0.9238443228104789</v>
      </c>
      <c r="AN93" s="117"/>
      <c r="AO93" s="118"/>
      <c r="AP93" s="120" t="s">
        <v>2089</v>
      </c>
      <c r="AV93" s="30" t="str">
        <f>IFERROR(INDEX('G-7 WaterC'' Data'!$AZ$3:$AZ$7,MATCH(N93,'G-7 WaterC'' Data'!$AY$3:$AY$7,0)),"")</f>
        <v>Rivercond1</v>
      </c>
    </row>
    <row r="94" spans="2:48" ht="28.5" x14ac:dyDescent="0.2">
      <c r="B94" s="392">
        <f>'C-1 On-Site WaterC'' Baseline'!AO92</f>
        <v>89</v>
      </c>
      <c r="C94" s="382" t="str">
        <f>IF(B94="","",VLOOKUP($B94,'C-1 On-Site WaterC'' Baseline'!$C$9:$R$257,2,FALSE))</f>
        <v>Ditches</v>
      </c>
      <c r="D94" s="382">
        <f>IF(C94="","",VLOOKUP($B94,'C-1 On-Site WaterC'' Baseline'!$C$9:$R$257,3,FALSE))</f>
        <v>0.1555992583076454</v>
      </c>
      <c r="E94" s="382" t="str">
        <f>IF(D94="","",VLOOKUP($B94,'C-1 On-Site WaterC'' Baseline'!$C$9:$R$257,4,FALSE))</f>
        <v>Medium</v>
      </c>
      <c r="F94" s="382">
        <f>IF(E94="","",VLOOKUP($B94,'C-1 On-Site WaterC'' Baseline'!$C$9:$R$257,5,FALSE))</f>
        <v>4</v>
      </c>
      <c r="G94" s="382" t="str">
        <f>IF(F94="","",VLOOKUP($B94,'C-1 On-Site WaterC'' Baseline'!$C$9:$R$257,6,FALSE))</f>
        <v>Poor</v>
      </c>
      <c r="H94" s="382">
        <f>IF(G94="","",VLOOKUP($B94,'C-1 On-Site WaterC'' Baseline'!$C$9:$R$257,7,FALSE))</f>
        <v>1</v>
      </c>
      <c r="I94" s="382" t="str">
        <f>IF(H94="","",VLOOKUP($B94,'C-1 On-Site WaterC'' Baseline'!$C$9:$R$257,8,FALSE))</f>
        <v>Area/compensation not in local strategy/ no local strategy</v>
      </c>
      <c r="J94" s="382" t="str">
        <f>IF(I94="","",VLOOKUP($B94,'C-1 On-Site WaterC'' Baseline'!$C$9:$R$257,9,FALSE))</f>
        <v>Low Strategic Significance</v>
      </c>
      <c r="K94" s="382">
        <f>IF(J94="","",VLOOKUP($B94,'C-1 On-Site WaterC'' Baseline'!$C$9:$R$257,10,FALSE))</f>
        <v>1</v>
      </c>
      <c r="L94" s="382" t="str">
        <f>IF(B94="","",VLOOKUP($B94,'C-1 On-Site WaterC'' Baseline'!$C$9:$R$257,15,FALSE))</f>
        <v>Same habitat required =</v>
      </c>
      <c r="M94" s="386">
        <f>IF(L94="","",VLOOKUP($B94,'C-1 On-Site WaterC'' Baseline'!$C$9:$R$257,16,FALSE))</f>
        <v>0.46679777492293617</v>
      </c>
      <c r="N94" s="320" t="str">
        <f t="shared" si="8"/>
        <v>Ditches</v>
      </c>
      <c r="O94" s="362" t="str">
        <f t="shared" si="10"/>
        <v>Medium - Medium</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Poor - Poor</v>
      </c>
      <c r="Q94" s="425">
        <f>IF(N94="","",VLOOKUP(B94,'C-1 On-Site WaterC'' Baseline'!$C$10:$AB$257,19,FALSE))</f>
        <v>0.1555992583076454</v>
      </c>
      <c r="R94" s="362" t="str">
        <f>IF(N94="","",VLOOKUP(N94,'G-7 WaterC'' Data'!$B$2:$G$8,2,FALSE))</f>
        <v>Medium</v>
      </c>
      <c r="S94" s="363">
        <f>IFERROR(VLOOKUP(R94,'G-7 WaterC'' Data'!$C$4:$D$8,2,FALSE),"")</f>
        <v>4</v>
      </c>
      <c r="T94" s="114" t="s">
        <v>329</v>
      </c>
      <c r="U94" s="363">
        <f>IFERROR(INDEX('G-7 WaterC'' Data'!$H$4:$L$8,MATCH(N94,'G-7 WaterC'' Data'!$B$4:$B$8,0),MATCH(T94,'G-7 WaterC'' Data'!$H$3:$L$3,0)),"")</f>
        <v>1</v>
      </c>
      <c r="V94" s="114" t="s">
        <v>1037</v>
      </c>
      <c r="W94" s="370" t="str">
        <f>IF(V94="","",IF(VLOOKUP(V94,'G-7 WaterC'' Data'!$AK$4:$AM$6,2,FALSE)=0,"Spatial Data Missing ⚠",VLOOKUP(V94,'G-7 WaterC'' Data'!$AK$4:$AM$6,2,FALSE)))</f>
        <v>Low Strategic Significance</v>
      </c>
      <c r="X94" s="363">
        <f>IF(V94="","",IF(VLOOKUP(V94,'G-7 WaterC'' Data'!$AK$4:$AM$6,3,FALSE)=0,"Spatial Data Missing ⚠",VLOOKUP(V94,'G-7 WaterC'' Data'!$AK$4:$AM$6,3,FALSE)))</f>
        <v>1</v>
      </c>
      <c r="Y94" s="362">
        <f>IFERROR(IF(OR(LEFT(P94,5)="Error",LEFT(O94,5)="Error ▲"),"Check Data ⚠",IF(F94&lt;S94,'G-7 WaterC'' Data'!$R$3,INDEX('G-7 WaterC'' Data'!$U$5:$Y$9,MATCH(G94,'G-7 WaterC'' Data'!$T$5:$T$9,0),MATCH(T94,'G-7 WaterC'' Data'!$U$4:$Y$4,0)))),"")</f>
        <v>1</v>
      </c>
      <c r="Z94" s="159">
        <v>0</v>
      </c>
      <c r="AA94" s="159">
        <v>0</v>
      </c>
      <c r="AB94" s="370" t="str">
        <f t="shared" si="11"/>
        <v>Standard time to target condition applied</v>
      </c>
      <c r="AC94" s="383">
        <f t="shared" si="12"/>
        <v>1</v>
      </c>
      <c r="AD94" s="422">
        <f>IFERROR(IF(AC94="Check Data ⚠","Check Data ⚠",VLOOKUP(AC94,'G-4 Temporal multipliers'!$A$4:$C$37,3,FALSE)),"")</f>
        <v>0.96499999999999997</v>
      </c>
      <c r="AE94" s="362" t="str">
        <f>IF(N94="","",VLOOKUP(N94,'G-7 WaterC'' Data'!$B$4:$G$8,5,FALSE))</f>
        <v>Medium</v>
      </c>
      <c r="AF94" s="370" t="str">
        <f t="shared" si="13"/>
        <v>Standard difficulty applied</v>
      </c>
      <c r="AG94" s="401" t="str">
        <f t="shared" si="14"/>
        <v>Medium</v>
      </c>
      <c r="AH94" s="363">
        <f t="shared" si="9"/>
        <v>0.67</v>
      </c>
      <c r="AI94" s="122" t="s">
        <v>1126</v>
      </c>
      <c r="AJ94" s="363">
        <f>IF(AI94="","",IF(VLOOKUP(AI94,'G-7 WaterC'' Data'!$AA$4:$AB$7,2,FALSE)=0,"Spatial Data Missing ⚠",VLOOKUP(AI94,'G-7 WaterC'' Data'!$AA$4:$AB$7,2,FALSE)))</f>
        <v>1</v>
      </c>
      <c r="AK94" s="123" t="s">
        <v>1142</v>
      </c>
      <c r="AL94" s="363">
        <f>IF(AK94="","",IF(VLOOKUP(AK94,'G-7 WaterC'' Data'!$AD$4:$AE$14,2,FALSE)=0,"Spatial Data Missing ⚠",VLOOKUP(AK94,'G-7 WaterC'' Data'!$AD$4:$AE$14,2,FALSE)))</f>
        <v>0.87</v>
      </c>
      <c r="AM94" s="405">
        <f t="shared" si="15"/>
        <v>0.54148541891060598</v>
      </c>
      <c r="AN94" s="117"/>
      <c r="AO94" s="118"/>
      <c r="AP94" s="120" t="s">
        <v>2090</v>
      </c>
      <c r="AV94" s="30" t="str">
        <f>IFERROR(INDEX('G-7 WaterC'' Data'!$AZ$3:$AZ$7,MATCH(N94,'G-7 WaterC'' Data'!$AY$3:$AY$7,0)),"")</f>
        <v>Rivercond1</v>
      </c>
    </row>
    <row r="95" spans="2:48" ht="28.5" x14ac:dyDescent="0.2">
      <c r="B95" s="392">
        <f>'C-1 On-Site WaterC'' Baseline'!AO93</f>
        <v>90</v>
      </c>
      <c r="C95" s="382" t="str">
        <f>IF(B95="","",VLOOKUP($B95,'C-1 On-Site WaterC'' Baseline'!$C$9:$R$257,2,FALSE))</f>
        <v>Ditches</v>
      </c>
      <c r="D95" s="382">
        <f>IF(C95="","",VLOOKUP($B95,'C-1 On-Site WaterC'' Baseline'!$C$9:$R$257,3,FALSE))</f>
        <v>0.17683387411096688</v>
      </c>
      <c r="E95" s="382" t="str">
        <f>IF(D95="","",VLOOKUP($B95,'C-1 On-Site WaterC'' Baseline'!$C$9:$R$257,4,FALSE))</f>
        <v>Medium</v>
      </c>
      <c r="F95" s="382">
        <f>IF(E95="","",VLOOKUP($B95,'C-1 On-Site WaterC'' Baseline'!$C$9:$R$257,5,FALSE))</f>
        <v>4</v>
      </c>
      <c r="G95" s="382" t="str">
        <f>IF(F95="","",VLOOKUP($B95,'C-1 On-Site WaterC'' Baseline'!$C$9:$R$257,6,FALSE))</f>
        <v>Poor</v>
      </c>
      <c r="H95" s="382">
        <f>IF(G95="","",VLOOKUP($B95,'C-1 On-Site WaterC'' Baseline'!$C$9:$R$257,7,FALSE))</f>
        <v>1</v>
      </c>
      <c r="I95" s="382" t="str">
        <f>IF(H95="","",VLOOKUP($B95,'C-1 On-Site WaterC'' Baseline'!$C$9:$R$257,8,FALSE))</f>
        <v>Area/compensation not in local strategy/ no local strategy</v>
      </c>
      <c r="J95" s="382" t="str">
        <f>IF(I95="","",VLOOKUP($B95,'C-1 On-Site WaterC'' Baseline'!$C$9:$R$257,9,FALSE))</f>
        <v>Low Strategic Significance</v>
      </c>
      <c r="K95" s="382">
        <f>IF(J95="","",VLOOKUP($B95,'C-1 On-Site WaterC'' Baseline'!$C$9:$R$257,10,FALSE))</f>
        <v>1</v>
      </c>
      <c r="L95" s="382" t="str">
        <f>IF(B95="","",VLOOKUP($B95,'C-1 On-Site WaterC'' Baseline'!$C$9:$R$257,15,FALSE))</f>
        <v>Same habitat required =</v>
      </c>
      <c r="M95" s="386">
        <f>IF(L95="","",VLOOKUP($B95,'C-1 On-Site WaterC'' Baseline'!$C$9:$R$257,16,FALSE))</f>
        <v>0.53050162233290066</v>
      </c>
      <c r="N95" s="320" t="str">
        <f t="shared" si="8"/>
        <v>Ditches</v>
      </c>
      <c r="O95" s="362" t="str">
        <f t="shared" si="10"/>
        <v>Medium - Medium</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Poor - Poor</v>
      </c>
      <c r="Q95" s="425">
        <f>IF(N95="","",VLOOKUP(B95,'C-1 On-Site WaterC'' Baseline'!$C$10:$AB$257,19,FALSE))</f>
        <v>0.17683387411096688</v>
      </c>
      <c r="R95" s="362" t="str">
        <f>IF(N95="","",VLOOKUP(N95,'G-7 WaterC'' Data'!$B$2:$G$8,2,FALSE))</f>
        <v>Medium</v>
      </c>
      <c r="S95" s="363">
        <f>IFERROR(VLOOKUP(R95,'G-7 WaterC'' Data'!$C$4:$D$8,2,FALSE),"")</f>
        <v>4</v>
      </c>
      <c r="T95" s="114" t="s">
        <v>329</v>
      </c>
      <c r="U95" s="363">
        <f>IFERROR(INDEX('G-7 WaterC'' Data'!$H$4:$L$8,MATCH(N95,'G-7 WaterC'' Data'!$B$4:$B$8,0),MATCH(T95,'G-7 WaterC'' Data'!$H$3:$L$3,0)),"")</f>
        <v>1</v>
      </c>
      <c r="V95" s="114" t="s">
        <v>1037</v>
      </c>
      <c r="W95" s="370" t="str">
        <f>IF(V95="","",IF(VLOOKUP(V95,'G-7 WaterC'' Data'!$AK$4:$AM$6,2,FALSE)=0,"Spatial Data Missing ⚠",VLOOKUP(V95,'G-7 WaterC'' Data'!$AK$4:$AM$6,2,FALSE)))</f>
        <v>Low Strategic Significance</v>
      </c>
      <c r="X95" s="363">
        <f>IF(V95="","",IF(VLOOKUP(V95,'G-7 WaterC'' Data'!$AK$4:$AM$6,3,FALSE)=0,"Spatial Data Missing ⚠",VLOOKUP(V95,'G-7 WaterC'' Data'!$AK$4:$AM$6,3,FALSE)))</f>
        <v>1</v>
      </c>
      <c r="Y95" s="362">
        <f>IFERROR(IF(OR(LEFT(P95,5)="Error",LEFT(O95,5)="Error ▲"),"Check Data ⚠",IF(F95&lt;S95,'G-7 WaterC'' Data'!$R$3,INDEX('G-7 WaterC'' Data'!$U$5:$Y$9,MATCH(G95,'G-7 WaterC'' Data'!$T$5:$T$9,0),MATCH(T95,'G-7 WaterC'' Data'!$U$4:$Y$4,0)))),"")</f>
        <v>1</v>
      </c>
      <c r="Z95" s="159">
        <v>0</v>
      </c>
      <c r="AA95" s="159">
        <v>0</v>
      </c>
      <c r="AB95" s="370" t="str">
        <f t="shared" si="11"/>
        <v>Standard time to target condition applied</v>
      </c>
      <c r="AC95" s="383">
        <f t="shared" si="12"/>
        <v>1</v>
      </c>
      <c r="AD95" s="422">
        <f>IFERROR(IF(AC95="Check Data ⚠","Check Data ⚠",VLOOKUP(AC95,'G-4 Temporal multipliers'!$A$4:$C$37,3,FALSE)),"")</f>
        <v>0.96499999999999997</v>
      </c>
      <c r="AE95" s="362" t="str">
        <f>IF(N95="","",VLOOKUP(N95,'G-7 WaterC'' Data'!$B$4:$G$8,5,FALSE))</f>
        <v>Medium</v>
      </c>
      <c r="AF95" s="370" t="str">
        <f t="shared" si="13"/>
        <v>Standard difficulty applied</v>
      </c>
      <c r="AG95" s="401" t="str">
        <f t="shared" si="14"/>
        <v>Medium</v>
      </c>
      <c r="AH95" s="363">
        <f t="shared" si="9"/>
        <v>0.67</v>
      </c>
      <c r="AI95" s="122" t="s">
        <v>1126</v>
      </c>
      <c r="AJ95" s="363">
        <f>IF(AI95="","",IF(VLOOKUP(AI95,'G-7 WaterC'' Data'!$AA$4:$AB$7,2,FALSE)=0,"Spatial Data Missing ⚠",VLOOKUP(AI95,'G-7 WaterC'' Data'!$AA$4:$AB$7,2,FALSE)))</f>
        <v>1</v>
      </c>
      <c r="AK95" s="123" t="s">
        <v>1153</v>
      </c>
      <c r="AL95" s="363">
        <f>IF(AK95="","",IF(VLOOKUP(AK95,'G-7 WaterC'' Data'!$AD$4:$AE$14,2,FALSE)=0,"Spatial Data Missing ⚠",VLOOKUP(AK95,'G-7 WaterC'' Data'!$AD$4:$AE$14,2,FALSE)))</f>
        <v>1</v>
      </c>
      <c r="AM95" s="405">
        <f t="shared" si="15"/>
        <v>0.70733549644386751</v>
      </c>
      <c r="AN95" s="117"/>
      <c r="AO95" s="118"/>
      <c r="AP95" s="120" t="s">
        <v>2091</v>
      </c>
      <c r="AV95" s="30" t="str">
        <f>IFERROR(INDEX('G-7 WaterC'' Data'!$AZ$3:$AZ$7,MATCH(N95,'G-7 WaterC'' Data'!$AY$3:$AY$7,0)),"")</f>
        <v>Rivercond1</v>
      </c>
    </row>
    <row r="96" spans="2:48" ht="28.5" x14ac:dyDescent="0.2">
      <c r="B96" s="392">
        <f>'C-1 On-Site WaterC'' Baseline'!AO94</f>
        <v>91</v>
      </c>
      <c r="C96" s="382" t="str">
        <f>IF(B96="","",VLOOKUP($B96,'C-1 On-Site WaterC'' Baseline'!$C$9:$R$257,2,FALSE))</f>
        <v>Ditches</v>
      </c>
      <c r="D96" s="382">
        <f>IF(C96="","",VLOOKUP($B96,'C-1 On-Site WaterC'' Baseline'!$C$9:$R$257,3,FALSE))</f>
        <v>9.1474573592324263E-2</v>
      </c>
      <c r="E96" s="382" t="str">
        <f>IF(D96="","",VLOOKUP($B96,'C-1 On-Site WaterC'' Baseline'!$C$9:$R$257,4,FALSE))</f>
        <v>Medium</v>
      </c>
      <c r="F96" s="382">
        <f>IF(E96="","",VLOOKUP($B96,'C-1 On-Site WaterC'' Baseline'!$C$9:$R$257,5,FALSE))</f>
        <v>4</v>
      </c>
      <c r="G96" s="382" t="str">
        <f>IF(F96="","",VLOOKUP($B96,'C-1 On-Site WaterC'' Baseline'!$C$9:$R$257,6,FALSE))</f>
        <v>Poor</v>
      </c>
      <c r="H96" s="382">
        <f>IF(G96="","",VLOOKUP($B96,'C-1 On-Site WaterC'' Baseline'!$C$9:$R$257,7,FALSE))</f>
        <v>1</v>
      </c>
      <c r="I96" s="382" t="str">
        <f>IF(H96="","",VLOOKUP($B96,'C-1 On-Site WaterC'' Baseline'!$C$9:$R$257,8,FALSE))</f>
        <v>Area/compensation not in local strategy/ no local strategy</v>
      </c>
      <c r="J96" s="382" t="str">
        <f>IF(I96="","",VLOOKUP($B96,'C-1 On-Site WaterC'' Baseline'!$C$9:$R$257,9,FALSE))</f>
        <v>Low Strategic Significance</v>
      </c>
      <c r="K96" s="382">
        <f>IF(J96="","",VLOOKUP($B96,'C-1 On-Site WaterC'' Baseline'!$C$9:$R$257,10,FALSE))</f>
        <v>1</v>
      </c>
      <c r="L96" s="382" t="str">
        <f>IF(B96="","",VLOOKUP($B96,'C-1 On-Site WaterC'' Baseline'!$C$9:$R$257,15,FALSE))</f>
        <v>Same habitat required =</v>
      </c>
      <c r="M96" s="386">
        <f>IF(L96="","",VLOOKUP($B96,'C-1 On-Site WaterC'' Baseline'!$C$9:$R$257,16,FALSE))</f>
        <v>0.2744237207769728</v>
      </c>
      <c r="N96" s="320" t="str">
        <f t="shared" si="8"/>
        <v>Ditches</v>
      </c>
      <c r="O96" s="362" t="str">
        <f t="shared" si="10"/>
        <v>Medium - Medium</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Poor - Poor</v>
      </c>
      <c r="Q96" s="425">
        <f>IF(N96="","",VLOOKUP(B96,'C-1 On-Site WaterC'' Baseline'!$C$10:$AB$257,19,FALSE))</f>
        <v>9.1474573592324263E-2</v>
      </c>
      <c r="R96" s="362" t="str">
        <f>IF(N96="","",VLOOKUP(N96,'G-7 WaterC'' Data'!$B$2:$G$8,2,FALSE))</f>
        <v>Medium</v>
      </c>
      <c r="S96" s="363">
        <f>IFERROR(VLOOKUP(R96,'G-7 WaterC'' Data'!$C$4:$D$8,2,FALSE),"")</f>
        <v>4</v>
      </c>
      <c r="T96" s="114" t="s">
        <v>329</v>
      </c>
      <c r="U96" s="363">
        <f>IFERROR(INDEX('G-7 WaterC'' Data'!$H$4:$L$8,MATCH(N96,'G-7 WaterC'' Data'!$B$4:$B$8,0),MATCH(T96,'G-7 WaterC'' Data'!$H$3:$L$3,0)),"")</f>
        <v>1</v>
      </c>
      <c r="V96" s="114" t="s">
        <v>1037</v>
      </c>
      <c r="W96" s="370" t="str">
        <f>IF(V96="","",IF(VLOOKUP(V96,'G-7 WaterC'' Data'!$AK$4:$AM$6,2,FALSE)=0,"Spatial Data Missing ⚠",VLOOKUP(V96,'G-7 WaterC'' Data'!$AK$4:$AM$6,2,FALSE)))</f>
        <v>Low Strategic Significance</v>
      </c>
      <c r="X96" s="363">
        <f>IF(V96="","",IF(VLOOKUP(V96,'G-7 WaterC'' Data'!$AK$4:$AM$6,3,FALSE)=0,"Spatial Data Missing ⚠",VLOOKUP(V96,'G-7 WaterC'' Data'!$AK$4:$AM$6,3,FALSE)))</f>
        <v>1</v>
      </c>
      <c r="Y96" s="362">
        <f>IFERROR(IF(OR(LEFT(P96,5)="Error",LEFT(O96,5)="Error ▲"),"Check Data ⚠",IF(F96&lt;S96,'G-7 WaterC'' Data'!$R$3,INDEX('G-7 WaterC'' Data'!$U$5:$Y$9,MATCH(G96,'G-7 WaterC'' Data'!$T$5:$T$9,0),MATCH(T96,'G-7 WaterC'' Data'!$U$4:$Y$4,0)))),"")</f>
        <v>1</v>
      </c>
      <c r="Z96" s="159">
        <v>0</v>
      </c>
      <c r="AA96" s="159">
        <v>0</v>
      </c>
      <c r="AB96" s="370" t="str">
        <f t="shared" si="11"/>
        <v>Standard time to target condition applied</v>
      </c>
      <c r="AC96" s="383">
        <f t="shared" si="12"/>
        <v>1</v>
      </c>
      <c r="AD96" s="422">
        <f>IFERROR(IF(AC96="Check Data ⚠","Check Data ⚠",VLOOKUP(AC96,'G-4 Temporal multipliers'!$A$4:$C$37,3,FALSE)),"")</f>
        <v>0.96499999999999997</v>
      </c>
      <c r="AE96" s="362" t="str">
        <f>IF(N96="","",VLOOKUP(N96,'G-7 WaterC'' Data'!$B$4:$G$8,5,FALSE))</f>
        <v>Medium</v>
      </c>
      <c r="AF96" s="370" t="str">
        <f t="shared" si="13"/>
        <v>Standard difficulty applied</v>
      </c>
      <c r="AG96" s="401" t="str">
        <f t="shared" si="14"/>
        <v>Medium</v>
      </c>
      <c r="AH96" s="363">
        <f t="shared" si="9"/>
        <v>0.67</v>
      </c>
      <c r="AI96" s="122" t="s">
        <v>1126</v>
      </c>
      <c r="AJ96" s="363">
        <f>IF(AI96="","",IF(VLOOKUP(AI96,'G-7 WaterC'' Data'!$AA$4:$AB$7,2,FALSE)=0,"Spatial Data Missing ⚠",VLOOKUP(AI96,'G-7 WaterC'' Data'!$AA$4:$AB$7,2,FALSE)))</f>
        <v>1</v>
      </c>
      <c r="AK96" s="123" t="s">
        <v>1142</v>
      </c>
      <c r="AL96" s="363">
        <f>IF(AK96="","",IF(VLOOKUP(AK96,'G-7 WaterC'' Data'!$AD$4:$AE$14,2,FALSE)=0,"Spatial Data Missing ⚠",VLOOKUP(AK96,'G-7 WaterC'' Data'!$AD$4:$AE$14,2,FALSE)))</f>
        <v>0.87</v>
      </c>
      <c r="AM96" s="405">
        <f t="shared" si="15"/>
        <v>0.31833151610128846</v>
      </c>
      <c r="AN96" s="117"/>
      <c r="AO96" s="118"/>
      <c r="AP96" s="120" t="s">
        <v>2092</v>
      </c>
      <c r="AV96" s="30" t="str">
        <f>IFERROR(INDEX('G-7 WaterC'' Data'!$AZ$3:$AZ$7,MATCH(N96,'G-7 WaterC'' Data'!$AY$3:$AY$7,0)),"")</f>
        <v>Rivercond1</v>
      </c>
    </row>
    <row r="97" spans="2:48" ht="28.5" x14ac:dyDescent="0.2">
      <c r="B97" s="392">
        <f>'C-1 On-Site WaterC'' Baseline'!AO95</f>
        <v>92</v>
      </c>
      <c r="C97" s="382" t="str">
        <f>IF(B97="","",VLOOKUP($B97,'C-1 On-Site WaterC'' Baseline'!$C$9:$R$257,2,FALSE))</f>
        <v>Ditches</v>
      </c>
      <c r="D97" s="382">
        <f>IF(C97="","",VLOOKUP($B97,'C-1 On-Site WaterC'' Baseline'!$C$9:$R$257,3,FALSE))</f>
        <v>1.4304948934411332E-4</v>
      </c>
      <c r="E97" s="382" t="str">
        <f>IF(D97="","",VLOOKUP($B97,'C-1 On-Site WaterC'' Baseline'!$C$9:$R$257,4,FALSE))</f>
        <v>Medium</v>
      </c>
      <c r="F97" s="382">
        <f>IF(E97="","",VLOOKUP($B97,'C-1 On-Site WaterC'' Baseline'!$C$9:$R$257,5,FALSE))</f>
        <v>4</v>
      </c>
      <c r="G97" s="382" t="str">
        <f>IF(F97="","",VLOOKUP($B97,'C-1 On-Site WaterC'' Baseline'!$C$9:$R$257,6,FALSE))</f>
        <v>Poor</v>
      </c>
      <c r="H97" s="382">
        <f>IF(G97="","",VLOOKUP($B97,'C-1 On-Site WaterC'' Baseline'!$C$9:$R$257,7,FALSE))</f>
        <v>1</v>
      </c>
      <c r="I97" s="382" t="str">
        <f>IF(H97="","",VLOOKUP($B97,'C-1 On-Site WaterC'' Baseline'!$C$9:$R$257,8,FALSE))</f>
        <v>Formally identified in local strategy</v>
      </c>
      <c r="J97" s="382" t="str">
        <f>IF(I97="","",VLOOKUP($B97,'C-1 On-Site WaterC'' Baseline'!$C$9:$R$257,9,FALSE))</f>
        <v xml:space="preserve">High strategic significance </v>
      </c>
      <c r="K97" s="382">
        <f>IF(J97="","",VLOOKUP($B97,'C-1 On-Site WaterC'' Baseline'!$C$9:$R$257,10,FALSE))</f>
        <v>1.1499999999999999</v>
      </c>
      <c r="L97" s="382" t="str">
        <f>IF(B97="","",VLOOKUP($B97,'C-1 On-Site WaterC'' Baseline'!$C$9:$R$257,15,FALSE))</f>
        <v>Same habitat required =</v>
      </c>
      <c r="M97" s="386">
        <f>IF(L97="","",VLOOKUP($B97,'C-1 On-Site WaterC'' Baseline'!$C$9:$R$257,16,FALSE))</f>
        <v>4.9352073823719089E-4</v>
      </c>
      <c r="N97" s="320" t="str">
        <f t="shared" si="8"/>
        <v>Ditches</v>
      </c>
      <c r="O97" s="362" t="str">
        <f t="shared" si="10"/>
        <v>Medium - Medium</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Poor - Poor</v>
      </c>
      <c r="Q97" s="425">
        <f>IF(N97="","",VLOOKUP(B97,'C-1 On-Site WaterC'' Baseline'!$C$10:$AB$257,19,FALSE))</f>
        <v>1.4304948934411332E-4</v>
      </c>
      <c r="R97" s="362" t="str">
        <f>IF(N97="","",VLOOKUP(N97,'G-7 WaterC'' Data'!$B$2:$G$8,2,FALSE))</f>
        <v>Medium</v>
      </c>
      <c r="S97" s="363">
        <f>IFERROR(VLOOKUP(R97,'G-7 WaterC'' Data'!$C$4:$D$8,2,FALSE),"")</f>
        <v>4</v>
      </c>
      <c r="T97" s="114" t="s">
        <v>329</v>
      </c>
      <c r="U97" s="363">
        <f>IFERROR(INDEX('G-7 WaterC'' Data'!$H$4:$L$8,MATCH(N97,'G-7 WaterC'' Data'!$B$4:$B$8,0),MATCH(T97,'G-7 WaterC'' Data'!$H$3:$L$3,0)),"")</f>
        <v>1</v>
      </c>
      <c r="V97" s="114" t="s">
        <v>1029</v>
      </c>
      <c r="W97" s="370" t="str">
        <f>IF(V97="","",IF(VLOOKUP(V97,'G-7 WaterC'' Data'!$AK$4:$AM$6,2,FALSE)=0,"Spatial Data Missing ⚠",VLOOKUP(V97,'G-7 WaterC'' Data'!$AK$4:$AM$6,2,FALSE)))</f>
        <v xml:space="preserve">High strategic significance </v>
      </c>
      <c r="X97" s="363">
        <f>IF(V97="","",IF(VLOOKUP(V97,'G-7 WaterC'' Data'!$AK$4:$AM$6,3,FALSE)=0,"Spatial Data Missing ⚠",VLOOKUP(V97,'G-7 WaterC'' Data'!$AK$4:$AM$6,3,FALSE)))</f>
        <v>1.1499999999999999</v>
      </c>
      <c r="Y97" s="362">
        <f>IFERROR(IF(OR(LEFT(P97,5)="Error",LEFT(O97,5)="Error ▲"),"Check Data ⚠",IF(F97&lt;S97,'G-7 WaterC'' Data'!$R$3,INDEX('G-7 WaterC'' Data'!$U$5:$Y$9,MATCH(G97,'G-7 WaterC'' Data'!$T$5:$T$9,0),MATCH(T97,'G-7 WaterC'' Data'!$U$4:$Y$4,0)))),"")</f>
        <v>1</v>
      </c>
      <c r="Z97" s="159">
        <v>0</v>
      </c>
      <c r="AA97" s="159">
        <v>0</v>
      </c>
      <c r="AB97" s="370" t="str">
        <f t="shared" si="11"/>
        <v>Standard time to target condition applied</v>
      </c>
      <c r="AC97" s="383">
        <f t="shared" si="12"/>
        <v>1</v>
      </c>
      <c r="AD97" s="422">
        <f>IFERROR(IF(AC97="Check Data ⚠","Check Data ⚠",VLOOKUP(AC97,'G-4 Temporal multipliers'!$A$4:$C$37,3,FALSE)),"")</f>
        <v>0.96499999999999997</v>
      </c>
      <c r="AE97" s="362" t="str">
        <f>IF(N97="","",VLOOKUP(N97,'G-7 WaterC'' Data'!$B$4:$G$8,5,FALSE))</f>
        <v>Medium</v>
      </c>
      <c r="AF97" s="370" t="str">
        <f t="shared" si="13"/>
        <v>Standard difficulty applied</v>
      </c>
      <c r="AG97" s="401" t="str">
        <f t="shared" si="14"/>
        <v>Medium</v>
      </c>
      <c r="AH97" s="363">
        <f t="shared" si="9"/>
        <v>0.67</v>
      </c>
      <c r="AI97" s="122" t="s">
        <v>1126</v>
      </c>
      <c r="AJ97" s="363">
        <f>IF(AI97="","",IF(VLOOKUP(AI97,'G-7 WaterC'' Data'!$AA$4:$AB$7,2,FALSE)=0,"Spatial Data Missing ⚠",VLOOKUP(AI97,'G-7 WaterC'' Data'!$AA$4:$AB$7,2,FALSE)))</f>
        <v>1</v>
      </c>
      <c r="AK97" s="123" t="s">
        <v>1142</v>
      </c>
      <c r="AL97" s="363">
        <f>IF(AK97="","",IF(VLOOKUP(AK97,'G-7 WaterC'' Data'!$AD$4:$AE$14,2,FALSE)=0,"Spatial Data Missing ⚠",VLOOKUP(AK97,'G-7 WaterC'' Data'!$AD$4:$AE$14,2,FALSE)))</f>
        <v>0.87</v>
      </c>
      <c r="AM97" s="405">
        <f t="shared" si="15"/>
        <v>5.7248405635514142E-4</v>
      </c>
      <c r="AN97" s="117"/>
      <c r="AO97" s="118"/>
      <c r="AP97" s="120" t="s">
        <v>2093</v>
      </c>
      <c r="AV97" s="30" t="str">
        <f>IFERROR(INDEX('G-7 WaterC'' Data'!$AZ$3:$AZ$7,MATCH(N97,'G-7 WaterC'' Data'!$AY$3:$AY$7,0)),"")</f>
        <v>Rivercond1</v>
      </c>
    </row>
    <row r="98" spans="2:48" ht="28.5" x14ac:dyDescent="0.2">
      <c r="B98" s="392">
        <f>'C-1 On-Site WaterC'' Baseline'!AO96</f>
        <v>93</v>
      </c>
      <c r="C98" s="382" t="str">
        <f>IF(B98="","",VLOOKUP($B98,'C-1 On-Site WaterC'' Baseline'!$C$9:$R$257,2,FALSE))</f>
        <v>Ditches</v>
      </c>
      <c r="D98" s="382">
        <f>IF(C98="","",VLOOKUP($B98,'C-1 On-Site WaterC'' Baseline'!$C$9:$R$257,3,FALSE))</f>
        <v>0.28509811743515451</v>
      </c>
      <c r="E98" s="382" t="str">
        <f>IF(D98="","",VLOOKUP($B98,'C-1 On-Site WaterC'' Baseline'!$C$9:$R$257,4,FALSE))</f>
        <v>Medium</v>
      </c>
      <c r="F98" s="382">
        <f>IF(E98="","",VLOOKUP($B98,'C-1 On-Site WaterC'' Baseline'!$C$9:$R$257,5,FALSE))</f>
        <v>4</v>
      </c>
      <c r="G98" s="382" t="str">
        <f>IF(F98="","",VLOOKUP($B98,'C-1 On-Site WaterC'' Baseline'!$C$9:$R$257,6,FALSE))</f>
        <v>Poor</v>
      </c>
      <c r="H98" s="382">
        <f>IF(G98="","",VLOOKUP($B98,'C-1 On-Site WaterC'' Baseline'!$C$9:$R$257,7,FALSE))</f>
        <v>1</v>
      </c>
      <c r="I98" s="382" t="str">
        <f>IF(H98="","",VLOOKUP($B98,'C-1 On-Site WaterC'' Baseline'!$C$9:$R$257,8,FALSE))</f>
        <v>Area/compensation not in local strategy/ no local strategy</v>
      </c>
      <c r="J98" s="382" t="str">
        <f>IF(I98="","",VLOOKUP($B98,'C-1 On-Site WaterC'' Baseline'!$C$9:$R$257,9,FALSE))</f>
        <v>Low Strategic Significance</v>
      </c>
      <c r="K98" s="382">
        <f>IF(J98="","",VLOOKUP($B98,'C-1 On-Site WaterC'' Baseline'!$C$9:$R$257,10,FALSE))</f>
        <v>1</v>
      </c>
      <c r="L98" s="382" t="str">
        <f>IF(B98="","",VLOOKUP($B98,'C-1 On-Site WaterC'' Baseline'!$C$9:$R$257,15,FALSE))</f>
        <v>Same habitat required =</v>
      </c>
      <c r="M98" s="386">
        <f>IF(L98="","",VLOOKUP($B98,'C-1 On-Site WaterC'' Baseline'!$C$9:$R$257,16,FALSE))</f>
        <v>0.85529435230546347</v>
      </c>
      <c r="N98" s="320" t="str">
        <f t="shared" si="8"/>
        <v>Ditches</v>
      </c>
      <c r="O98" s="362" t="str">
        <f t="shared" si="10"/>
        <v>Medium - Medium</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Poor - Poor</v>
      </c>
      <c r="Q98" s="425">
        <f>IF(N98="","",VLOOKUP(B98,'C-1 On-Site WaterC'' Baseline'!$C$10:$AB$257,19,FALSE))</f>
        <v>0.28509811743515451</v>
      </c>
      <c r="R98" s="362" t="str">
        <f>IF(N98="","",VLOOKUP(N98,'G-7 WaterC'' Data'!$B$2:$G$8,2,FALSE))</f>
        <v>Medium</v>
      </c>
      <c r="S98" s="363">
        <f>IFERROR(VLOOKUP(R98,'G-7 WaterC'' Data'!$C$4:$D$8,2,FALSE),"")</f>
        <v>4</v>
      </c>
      <c r="T98" s="114" t="s">
        <v>329</v>
      </c>
      <c r="U98" s="363">
        <f>IFERROR(INDEX('G-7 WaterC'' Data'!$H$4:$L$8,MATCH(N98,'G-7 WaterC'' Data'!$B$4:$B$8,0),MATCH(T98,'G-7 WaterC'' Data'!$H$3:$L$3,0)),"")</f>
        <v>1</v>
      </c>
      <c r="V98" s="114" t="s">
        <v>1037</v>
      </c>
      <c r="W98" s="370" t="str">
        <f>IF(V98="","",IF(VLOOKUP(V98,'G-7 WaterC'' Data'!$AK$4:$AM$6,2,FALSE)=0,"Spatial Data Missing ⚠",VLOOKUP(V98,'G-7 WaterC'' Data'!$AK$4:$AM$6,2,FALSE)))</f>
        <v>Low Strategic Significance</v>
      </c>
      <c r="X98" s="363">
        <f>IF(V98="","",IF(VLOOKUP(V98,'G-7 WaterC'' Data'!$AK$4:$AM$6,3,FALSE)=0,"Spatial Data Missing ⚠",VLOOKUP(V98,'G-7 WaterC'' Data'!$AK$4:$AM$6,3,FALSE)))</f>
        <v>1</v>
      </c>
      <c r="Y98" s="362">
        <f>IFERROR(IF(OR(LEFT(P98,5)="Error",LEFT(O98,5)="Error ▲"),"Check Data ⚠",IF(F98&lt;S98,'G-7 WaterC'' Data'!$R$3,INDEX('G-7 WaterC'' Data'!$U$5:$Y$9,MATCH(G98,'G-7 WaterC'' Data'!$T$5:$T$9,0),MATCH(T98,'G-7 WaterC'' Data'!$U$4:$Y$4,0)))),"")</f>
        <v>1</v>
      </c>
      <c r="Z98" s="159">
        <v>0</v>
      </c>
      <c r="AA98" s="159">
        <v>0</v>
      </c>
      <c r="AB98" s="370" t="str">
        <f t="shared" si="11"/>
        <v>Standard time to target condition applied</v>
      </c>
      <c r="AC98" s="383">
        <f t="shared" si="12"/>
        <v>1</v>
      </c>
      <c r="AD98" s="422">
        <f>IFERROR(IF(AC98="Check Data ⚠","Check Data ⚠",VLOOKUP(AC98,'G-4 Temporal multipliers'!$A$4:$C$37,3,FALSE)),"")</f>
        <v>0.96499999999999997</v>
      </c>
      <c r="AE98" s="362" t="str">
        <f>IF(N98="","",VLOOKUP(N98,'G-7 WaterC'' Data'!$B$4:$G$8,5,FALSE))</f>
        <v>Medium</v>
      </c>
      <c r="AF98" s="370" t="str">
        <f t="shared" si="13"/>
        <v>Standard difficulty applied</v>
      </c>
      <c r="AG98" s="401" t="str">
        <f t="shared" si="14"/>
        <v>Medium</v>
      </c>
      <c r="AH98" s="363">
        <f t="shared" si="9"/>
        <v>0.67</v>
      </c>
      <c r="AI98" s="122" t="s">
        <v>1126</v>
      </c>
      <c r="AJ98" s="363">
        <f>IF(AI98="","",IF(VLOOKUP(AI98,'G-7 WaterC'' Data'!$AA$4:$AB$7,2,FALSE)=0,"Spatial Data Missing ⚠",VLOOKUP(AI98,'G-7 WaterC'' Data'!$AA$4:$AB$7,2,FALSE)))</f>
        <v>1</v>
      </c>
      <c r="AK98" s="123" t="s">
        <v>1142</v>
      </c>
      <c r="AL98" s="363">
        <f>IF(AK98="","",IF(VLOOKUP(AK98,'G-7 WaterC'' Data'!$AD$4:$AE$14,2,FALSE)=0,"Spatial Data Missing ⚠",VLOOKUP(AK98,'G-7 WaterC'' Data'!$AD$4:$AE$14,2,FALSE)))</f>
        <v>0.87</v>
      </c>
      <c r="AM98" s="405">
        <f t="shared" si="15"/>
        <v>0.99214144867433773</v>
      </c>
      <c r="AN98" s="117"/>
      <c r="AO98" s="118"/>
      <c r="AP98" s="120" t="s">
        <v>2094</v>
      </c>
      <c r="AV98" s="30" t="str">
        <f>IFERROR(INDEX('G-7 WaterC'' Data'!$AZ$3:$AZ$7,MATCH(N98,'G-7 WaterC'' Data'!$AY$3:$AY$7,0)),"")</f>
        <v>Rivercond1</v>
      </c>
    </row>
    <row r="99" spans="2:48" ht="28.5" x14ac:dyDescent="0.2">
      <c r="B99" s="392">
        <f>'C-1 On-Site WaterC'' Baseline'!AO97</f>
        <v>94</v>
      </c>
      <c r="C99" s="382" t="str">
        <f>IF(B99="","",VLOOKUP($B99,'C-1 On-Site WaterC'' Baseline'!$C$9:$R$257,2,FALSE))</f>
        <v>Ditches</v>
      </c>
      <c r="D99" s="382">
        <f>IF(C99="","",VLOOKUP($B99,'C-1 On-Site WaterC'' Baseline'!$C$9:$R$257,3,FALSE))</f>
        <v>6.5675497045886946E-2</v>
      </c>
      <c r="E99" s="382" t="str">
        <f>IF(D99="","",VLOOKUP($B99,'C-1 On-Site WaterC'' Baseline'!$C$9:$R$257,4,FALSE))</f>
        <v>Medium</v>
      </c>
      <c r="F99" s="382">
        <f>IF(E99="","",VLOOKUP($B99,'C-1 On-Site WaterC'' Baseline'!$C$9:$R$257,5,FALSE))</f>
        <v>4</v>
      </c>
      <c r="G99" s="382" t="str">
        <f>IF(F99="","",VLOOKUP($B99,'C-1 On-Site WaterC'' Baseline'!$C$9:$R$257,6,FALSE))</f>
        <v>Poor</v>
      </c>
      <c r="H99" s="382">
        <f>IF(G99="","",VLOOKUP($B99,'C-1 On-Site WaterC'' Baseline'!$C$9:$R$257,7,FALSE))</f>
        <v>1</v>
      </c>
      <c r="I99" s="382" t="str">
        <f>IF(H99="","",VLOOKUP($B99,'C-1 On-Site WaterC'' Baseline'!$C$9:$R$257,8,FALSE))</f>
        <v>Formally identified in local strategy</v>
      </c>
      <c r="J99" s="382" t="str">
        <f>IF(I99="","",VLOOKUP($B99,'C-1 On-Site WaterC'' Baseline'!$C$9:$R$257,9,FALSE))</f>
        <v xml:space="preserve">High strategic significance </v>
      </c>
      <c r="K99" s="382">
        <f>IF(J99="","",VLOOKUP($B99,'C-1 On-Site WaterC'' Baseline'!$C$9:$R$257,10,FALSE))</f>
        <v>1.1499999999999999</v>
      </c>
      <c r="L99" s="382" t="str">
        <f>IF(B99="","",VLOOKUP($B99,'C-1 On-Site WaterC'' Baseline'!$C$9:$R$257,15,FALSE))</f>
        <v>Same habitat required =</v>
      </c>
      <c r="M99" s="386">
        <f>IF(L99="","",VLOOKUP($B99,'C-1 On-Site WaterC'' Baseline'!$C$9:$R$257,16,FALSE))</f>
        <v>0.22658046480830996</v>
      </c>
      <c r="N99" s="320" t="str">
        <f t="shared" si="8"/>
        <v>Ditches</v>
      </c>
      <c r="O99" s="362" t="str">
        <f t="shared" si="10"/>
        <v>Medium - Medium</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Poor - Poor</v>
      </c>
      <c r="Q99" s="425">
        <f>IF(N99="","",VLOOKUP(B99,'C-1 On-Site WaterC'' Baseline'!$C$10:$AB$257,19,FALSE))</f>
        <v>6.5675497045886946E-2</v>
      </c>
      <c r="R99" s="362" t="str">
        <f>IF(N99="","",VLOOKUP(N99,'G-7 WaterC'' Data'!$B$2:$G$8,2,FALSE))</f>
        <v>Medium</v>
      </c>
      <c r="S99" s="363">
        <f>IFERROR(VLOOKUP(R99,'G-7 WaterC'' Data'!$C$4:$D$8,2,FALSE),"")</f>
        <v>4</v>
      </c>
      <c r="T99" s="114" t="s">
        <v>329</v>
      </c>
      <c r="U99" s="363">
        <f>IFERROR(INDEX('G-7 WaterC'' Data'!$H$4:$L$8,MATCH(N99,'G-7 WaterC'' Data'!$B$4:$B$8,0),MATCH(T99,'G-7 WaterC'' Data'!$H$3:$L$3,0)),"")</f>
        <v>1</v>
      </c>
      <c r="V99" s="114" t="s">
        <v>1029</v>
      </c>
      <c r="W99" s="370" t="str">
        <f>IF(V99="","",IF(VLOOKUP(V99,'G-7 WaterC'' Data'!$AK$4:$AM$6,2,FALSE)=0,"Spatial Data Missing ⚠",VLOOKUP(V99,'G-7 WaterC'' Data'!$AK$4:$AM$6,2,FALSE)))</f>
        <v xml:space="preserve">High strategic significance </v>
      </c>
      <c r="X99" s="363">
        <f>IF(V99="","",IF(VLOOKUP(V99,'G-7 WaterC'' Data'!$AK$4:$AM$6,3,FALSE)=0,"Spatial Data Missing ⚠",VLOOKUP(V99,'G-7 WaterC'' Data'!$AK$4:$AM$6,3,FALSE)))</f>
        <v>1.1499999999999999</v>
      </c>
      <c r="Y99" s="362">
        <f>IFERROR(IF(OR(LEFT(P99,5)="Error",LEFT(O99,5)="Error ▲"),"Check Data ⚠",IF(F99&lt;S99,'G-7 WaterC'' Data'!$R$3,INDEX('G-7 WaterC'' Data'!$U$5:$Y$9,MATCH(G99,'G-7 WaterC'' Data'!$T$5:$T$9,0),MATCH(T99,'G-7 WaterC'' Data'!$U$4:$Y$4,0)))),"")</f>
        <v>1</v>
      </c>
      <c r="Z99" s="159">
        <v>0</v>
      </c>
      <c r="AA99" s="159">
        <v>0</v>
      </c>
      <c r="AB99" s="370" t="str">
        <f t="shared" si="11"/>
        <v>Standard time to target condition applied</v>
      </c>
      <c r="AC99" s="383">
        <f t="shared" si="12"/>
        <v>1</v>
      </c>
      <c r="AD99" s="422">
        <f>IFERROR(IF(AC99="Check Data ⚠","Check Data ⚠",VLOOKUP(AC99,'G-4 Temporal multipliers'!$A$4:$C$37,3,FALSE)),"")</f>
        <v>0.96499999999999997</v>
      </c>
      <c r="AE99" s="362" t="str">
        <f>IF(N99="","",VLOOKUP(N99,'G-7 WaterC'' Data'!$B$4:$G$8,5,FALSE))</f>
        <v>Medium</v>
      </c>
      <c r="AF99" s="370" t="str">
        <f t="shared" si="13"/>
        <v>Standard difficulty applied</v>
      </c>
      <c r="AG99" s="401" t="str">
        <f t="shared" si="14"/>
        <v>Medium</v>
      </c>
      <c r="AH99" s="363">
        <f t="shared" si="9"/>
        <v>0.67</v>
      </c>
      <c r="AI99" s="122" t="s">
        <v>1126</v>
      </c>
      <c r="AJ99" s="363">
        <f>IF(AI99="","",IF(VLOOKUP(AI99,'G-7 WaterC'' Data'!$AA$4:$AB$7,2,FALSE)=0,"Spatial Data Missing ⚠",VLOOKUP(AI99,'G-7 WaterC'' Data'!$AA$4:$AB$7,2,FALSE)))</f>
        <v>1</v>
      </c>
      <c r="AK99" s="123" t="s">
        <v>1153</v>
      </c>
      <c r="AL99" s="363">
        <f>IF(AK99="","",IF(VLOOKUP(AK99,'G-7 WaterC'' Data'!$AD$4:$AE$14,2,FALSE)=0,"Spatial Data Missing ⚠",VLOOKUP(AK99,'G-7 WaterC'' Data'!$AD$4:$AE$14,2,FALSE)))</f>
        <v>1</v>
      </c>
      <c r="AM99" s="405">
        <f t="shared" si="15"/>
        <v>0.30210728641107992</v>
      </c>
      <c r="AN99" s="117"/>
      <c r="AO99" s="118"/>
      <c r="AP99" s="120" t="s">
        <v>2095</v>
      </c>
      <c r="AV99" s="30" t="str">
        <f>IFERROR(INDEX('G-7 WaterC'' Data'!$AZ$3:$AZ$7,MATCH(N99,'G-7 WaterC'' Data'!$AY$3:$AY$7,0)),"")</f>
        <v>Rivercond1</v>
      </c>
    </row>
    <row r="100" spans="2:48" ht="28.5" x14ac:dyDescent="0.2">
      <c r="B100" s="392">
        <f>'C-1 On-Site WaterC'' Baseline'!AO98</f>
        <v>95</v>
      </c>
      <c r="C100" s="382" t="str">
        <f>IF(B100="","",VLOOKUP($B100,'C-1 On-Site WaterC'' Baseline'!$C$9:$R$257,2,FALSE))</f>
        <v>Ditches</v>
      </c>
      <c r="D100" s="382">
        <f>IF(C100="","",VLOOKUP($B100,'C-1 On-Site WaterC'' Baseline'!$C$9:$R$257,3,FALSE))</f>
        <v>0.15656564021280947</v>
      </c>
      <c r="E100" s="382" t="str">
        <f>IF(D100="","",VLOOKUP($B100,'C-1 On-Site WaterC'' Baseline'!$C$9:$R$257,4,FALSE))</f>
        <v>Medium</v>
      </c>
      <c r="F100" s="382">
        <f>IF(E100="","",VLOOKUP($B100,'C-1 On-Site WaterC'' Baseline'!$C$9:$R$257,5,FALSE))</f>
        <v>4</v>
      </c>
      <c r="G100" s="382" t="str">
        <f>IF(F100="","",VLOOKUP($B100,'C-1 On-Site WaterC'' Baseline'!$C$9:$R$257,6,FALSE))</f>
        <v>Poor</v>
      </c>
      <c r="H100" s="382">
        <f>IF(G100="","",VLOOKUP($B100,'C-1 On-Site WaterC'' Baseline'!$C$9:$R$257,7,FALSE))</f>
        <v>1</v>
      </c>
      <c r="I100" s="382" t="str">
        <f>IF(H100="","",VLOOKUP($B100,'C-1 On-Site WaterC'' Baseline'!$C$9:$R$257,8,FALSE))</f>
        <v>Formally identified in local strategy</v>
      </c>
      <c r="J100" s="382" t="str">
        <f>IF(I100="","",VLOOKUP($B100,'C-1 On-Site WaterC'' Baseline'!$C$9:$R$257,9,FALSE))</f>
        <v xml:space="preserve">High strategic significance </v>
      </c>
      <c r="K100" s="382">
        <f>IF(J100="","",VLOOKUP($B100,'C-1 On-Site WaterC'' Baseline'!$C$9:$R$257,10,FALSE))</f>
        <v>1.1499999999999999</v>
      </c>
      <c r="L100" s="382" t="str">
        <f>IF(B100="","",VLOOKUP($B100,'C-1 On-Site WaterC'' Baseline'!$C$9:$R$257,15,FALSE))</f>
        <v>Same habitat required =</v>
      </c>
      <c r="M100" s="386">
        <f>IF(L100="","",VLOOKUP($B100,'C-1 On-Site WaterC'' Baseline'!$C$9:$R$257,16,FALSE))</f>
        <v>0.54015145873419268</v>
      </c>
      <c r="N100" s="320" t="str">
        <f t="shared" si="8"/>
        <v>Ditches</v>
      </c>
      <c r="O100" s="362" t="str">
        <f t="shared" si="10"/>
        <v>Medium - Medium</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Poor - Poor</v>
      </c>
      <c r="Q100" s="425">
        <f>IF(N100="","",VLOOKUP(B100,'C-1 On-Site WaterC'' Baseline'!$C$10:$AB$257,19,FALSE))</f>
        <v>0.15656564021280947</v>
      </c>
      <c r="R100" s="362" t="str">
        <f>IF(N100="","",VLOOKUP(N100,'G-7 WaterC'' Data'!$B$2:$G$8,2,FALSE))</f>
        <v>Medium</v>
      </c>
      <c r="S100" s="363">
        <f>IFERROR(VLOOKUP(R100,'G-7 WaterC'' Data'!$C$4:$D$8,2,FALSE),"")</f>
        <v>4</v>
      </c>
      <c r="T100" s="114" t="s">
        <v>329</v>
      </c>
      <c r="U100" s="363">
        <f>IFERROR(INDEX('G-7 WaterC'' Data'!$H$4:$L$8,MATCH(N100,'G-7 WaterC'' Data'!$B$4:$B$8,0),MATCH(T100,'G-7 WaterC'' Data'!$H$3:$L$3,0)),"")</f>
        <v>1</v>
      </c>
      <c r="V100" s="114" t="s">
        <v>1029</v>
      </c>
      <c r="W100" s="370" t="str">
        <f>IF(V100="","",IF(VLOOKUP(V100,'G-7 WaterC'' Data'!$AK$4:$AM$6,2,FALSE)=0,"Spatial Data Missing ⚠",VLOOKUP(V100,'G-7 WaterC'' Data'!$AK$4:$AM$6,2,FALSE)))</f>
        <v xml:space="preserve">High strategic significance </v>
      </c>
      <c r="X100" s="363">
        <f>IF(V100="","",IF(VLOOKUP(V100,'G-7 WaterC'' Data'!$AK$4:$AM$6,3,FALSE)=0,"Spatial Data Missing ⚠",VLOOKUP(V100,'G-7 WaterC'' Data'!$AK$4:$AM$6,3,FALSE)))</f>
        <v>1.1499999999999999</v>
      </c>
      <c r="Y100" s="362">
        <f>IFERROR(IF(OR(LEFT(P100,5)="Error",LEFT(O100,5)="Error ▲"),"Check Data ⚠",IF(F100&lt;S100,'G-7 WaterC'' Data'!$R$3,INDEX('G-7 WaterC'' Data'!$U$5:$Y$9,MATCH(G100,'G-7 WaterC'' Data'!$T$5:$T$9,0),MATCH(T100,'G-7 WaterC'' Data'!$U$4:$Y$4,0)))),"")</f>
        <v>1</v>
      </c>
      <c r="Z100" s="159">
        <v>0</v>
      </c>
      <c r="AA100" s="159">
        <v>0</v>
      </c>
      <c r="AB100" s="370" t="str">
        <f t="shared" si="11"/>
        <v>Standard time to target condition applied</v>
      </c>
      <c r="AC100" s="383">
        <f t="shared" si="12"/>
        <v>1</v>
      </c>
      <c r="AD100" s="422">
        <f>IFERROR(IF(AC100="Check Data ⚠","Check Data ⚠",VLOOKUP(AC100,'G-4 Temporal multipliers'!$A$4:$C$37,3,FALSE)),"")</f>
        <v>0.96499999999999997</v>
      </c>
      <c r="AE100" s="362" t="str">
        <f>IF(N100="","",VLOOKUP(N100,'G-7 WaterC'' Data'!$B$4:$G$8,5,FALSE))</f>
        <v>Medium</v>
      </c>
      <c r="AF100" s="370" t="str">
        <f t="shared" si="13"/>
        <v>Standard difficulty applied</v>
      </c>
      <c r="AG100" s="401" t="str">
        <f t="shared" si="14"/>
        <v>Medium</v>
      </c>
      <c r="AH100" s="363">
        <f t="shared" si="9"/>
        <v>0.67</v>
      </c>
      <c r="AI100" s="122" t="s">
        <v>1126</v>
      </c>
      <c r="AJ100" s="363">
        <f>IF(AI100="","",IF(VLOOKUP(AI100,'G-7 WaterC'' Data'!$AA$4:$AB$7,2,FALSE)=0,"Spatial Data Missing ⚠",VLOOKUP(AI100,'G-7 WaterC'' Data'!$AA$4:$AB$7,2,FALSE)))</f>
        <v>1</v>
      </c>
      <c r="AK100" s="123" t="s">
        <v>1142</v>
      </c>
      <c r="AL100" s="363">
        <f>IF(AK100="","",IF(VLOOKUP(AK100,'G-7 WaterC'' Data'!$AD$4:$AE$14,2,FALSE)=0,"Spatial Data Missing ⚠",VLOOKUP(AK100,'G-7 WaterC'' Data'!$AD$4:$AE$14,2,FALSE)))</f>
        <v>0.87</v>
      </c>
      <c r="AM100" s="405">
        <f t="shared" si="15"/>
        <v>0.62657569213166342</v>
      </c>
      <c r="AN100" s="117"/>
      <c r="AO100" s="118"/>
      <c r="AP100" s="120" t="s">
        <v>2096</v>
      </c>
      <c r="AV100" s="30" t="str">
        <f>IFERROR(INDEX('G-7 WaterC'' Data'!$AZ$3:$AZ$7,MATCH(N100,'G-7 WaterC'' Data'!$AY$3:$AY$7,0)),"")</f>
        <v>Rivercond1</v>
      </c>
    </row>
    <row r="101" spans="2:48" ht="28.5" x14ac:dyDescent="0.2">
      <c r="B101" s="392">
        <f>'C-1 On-Site WaterC'' Baseline'!AO99</f>
        <v>96</v>
      </c>
      <c r="C101" s="382" t="str">
        <f>IF(B101="","",VLOOKUP($B101,'C-1 On-Site WaterC'' Baseline'!$C$9:$R$257,2,FALSE))</f>
        <v>Ditches</v>
      </c>
      <c r="D101" s="382">
        <f>IF(C101="","",VLOOKUP($B101,'C-1 On-Site WaterC'' Baseline'!$C$9:$R$257,3,FALSE))</f>
        <v>0.2435552326153772</v>
      </c>
      <c r="E101" s="382" t="str">
        <f>IF(D101="","",VLOOKUP($B101,'C-1 On-Site WaterC'' Baseline'!$C$9:$R$257,4,FALSE))</f>
        <v>Medium</v>
      </c>
      <c r="F101" s="382">
        <f>IF(E101="","",VLOOKUP($B101,'C-1 On-Site WaterC'' Baseline'!$C$9:$R$257,5,FALSE))</f>
        <v>4</v>
      </c>
      <c r="G101" s="382" t="str">
        <f>IF(F101="","",VLOOKUP($B101,'C-1 On-Site WaterC'' Baseline'!$C$9:$R$257,6,FALSE))</f>
        <v>Poor</v>
      </c>
      <c r="H101" s="382">
        <f>IF(G101="","",VLOOKUP($B101,'C-1 On-Site WaterC'' Baseline'!$C$9:$R$257,7,FALSE))</f>
        <v>1</v>
      </c>
      <c r="I101" s="382" t="str">
        <f>IF(H101="","",VLOOKUP($B101,'C-1 On-Site WaterC'' Baseline'!$C$9:$R$257,8,FALSE))</f>
        <v>Area/compensation not in local strategy/ no local strategy</v>
      </c>
      <c r="J101" s="382" t="str">
        <f>IF(I101="","",VLOOKUP($B101,'C-1 On-Site WaterC'' Baseline'!$C$9:$R$257,9,FALSE))</f>
        <v>Low Strategic Significance</v>
      </c>
      <c r="K101" s="382">
        <f>IF(J101="","",VLOOKUP($B101,'C-1 On-Site WaterC'' Baseline'!$C$9:$R$257,10,FALSE))</f>
        <v>1</v>
      </c>
      <c r="L101" s="382" t="str">
        <f>IF(B101="","",VLOOKUP($B101,'C-1 On-Site WaterC'' Baseline'!$C$9:$R$257,15,FALSE))</f>
        <v>Same habitat required =</v>
      </c>
      <c r="M101" s="386">
        <f>IF(L101="","",VLOOKUP($B101,'C-1 On-Site WaterC'' Baseline'!$C$9:$R$257,16,FALSE))</f>
        <v>0.73066569784613167</v>
      </c>
      <c r="N101" s="320" t="str">
        <f t="shared" si="8"/>
        <v>Ditches</v>
      </c>
      <c r="O101" s="362" t="str">
        <f t="shared" si="10"/>
        <v>Medium - Medium</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Poor - Poor</v>
      </c>
      <c r="Q101" s="425">
        <f>IF(N101="","",VLOOKUP(B101,'C-1 On-Site WaterC'' Baseline'!$C$10:$AB$257,19,FALSE))</f>
        <v>0.2435552326153772</v>
      </c>
      <c r="R101" s="362" t="str">
        <f>IF(N101="","",VLOOKUP(N101,'G-7 WaterC'' Data'!$B$2:$G$8,2,FALSE))</f>
        <v>Medium</v>
      </c>
      <c r="S101" s="363">
        <f>IFERROR(VLOOKUP(R101,'G-7 WaterC'' Data'!$C$4:$D$8,2,FALSE),"")</f>
        <v>4</v>
      </c>
      <c r="T101" s="114" t="s">
        <v>329</v>
      </c>
      <c r="U101" s="363">
        <f>IFERROR(INDEX('G-7 WaterC'' Data'!$H$4:$L$8,MATCH(N101,'G-7 WaterC'' Data'!$B$4:$B$8,0),MATCH(T101,'G-7 WaterC'' Data'!$H$3:$L$3,0)),"")</f>
        <v>1</v>
      </c>
      <c r="V101" s="114" t="s">
        <v>1037</v>
      </c>
      <c r="W101" s="370" t="str">
        <f>IF(V101="","",IF(VLOOKUP(V101,'G-7 WaterC'' Data'!$AK$4:$AM$6,2,FALSE)=0,"Spatial Data Missing ⚠",VLOOKUP(V101,'G-7 WaterC'' Data'!$AK$4:$AM$6,2,FALSE)))</f>
        <v>Low Strategic Significance</v>
      </c>
      <c r="X101" s="363">
        <f>IF(V101="","",IF(VLOOKUP(V101,'G-7 WaterC'' Data'!$AK$4:$AM$6,3,FALSE)=0,"Spatial Data Missing ⚠",VLOOKUP(V101,'G-7 WaterC'' Data'!$AK$4:$AM$6,3,FALSE)))</f>
        <v>1</v>
      </c>
      <c r="Y101" s="362">
        <f>IFERROR(IF(OR(LEFT(P101,5)="Error",LEFT(O101,5)="Error ▲"),"Check Data ⚠",IF(F101&lt;S101,'G-7 WaterC'' Data'!$R$3,INDEX('G-7 WaterC'' Data'!$U$5:$Y$9,MATCH(G101,'G-7 WaterC'' Data'!$T$5:$T$9,0),MATCH(T101,'G-7 WaterC'' Data'!$U$4:$Y$4,0)))),"")</f>
        <v>1</v>
      </c>
      <c r="Z101" s="159">
        <v>0</v>
      </c>
      <c r="AA101" s="159">
        <v>0</v>
      </c>
      <c r="AB101" s="370" t="str">
        <f t="shared" si="11"/>
        <v>Standard time to target condition applied</v>
      </c>
      <c r="AC101" s="383">
        <f t="shared" si="12"/>
        <v>1</v>
      </c>
      <c r="AD101" s="422">
        <f>IFERROR(IF(AC101="Check Data ⚠","Check Data ⚠",VLOOKUP(AC101,'G-4 Temporal multipliers'!$A$4:$C$37,3,FALSE)),"")</f>
        <v>0.96499999999999997</v>
      </c>
      <c r="AE101" s="362" t="str">
        <f>IF(N101="","",VLOOKUP(N101,'G-7 WaterC'' Data'!$B$4:$G$8,5,FALSE))</f>
        <v>Medium</v>
      </c>
      <c r="AF101" s="370" t="str">
        <f t="shared" si="13"/>
        <v>Standard difficulty applied</v>
      </c>
      <c r="AG101" s="401" t="str">
        <f t="shared" si="14"/>
        <v>Medium</v>
      </c>
      <c r="AH101" s="363">
        <f t="shared" si="9"/>
        <v>0.67</v>
      </c>
      <c r="AI101" s="122" t="s">
        <v>1126</v>
      </c>
      <c r="AJ101" s="363">
        <f>IF(AI101="","",IF(VLOOKUP(AI101,'G-7 WaterC'' Data'!$AA$4:$AB$7,2,FALSE)=0,"Spatial Data Missing ⚠",VLOOKUP(AI101,'G-7 WaterC'' Data'!$AA$4:$AB$7,2,FALSE)))</f>
        <v>1</v>
      </c>
      <c r="AK101" s="123" t="s">
        <v>1153</v>
      </c>
      <c r="AL101" s="363">
        <f>IF(AK101="","",IF(VLOOKUP(AK101,'G-7 WaterC'' Data'!$AD$4:$AE$14,2,FALSE)=0,"Spatial Data Missing ⚠",VLOOKUP(AK101,'G-7 WaterC'' Data'!$AD$4:$AE$14,2,FALSE)))</f>
        <v>1</v>
      </c>
      <c r="AM101" s="405">
        <f t="shared" si="15"/>
        <v>0.97422093046150882</v>
      </c>
      <c r="AN101" s="117"/>
      <c r="AO101" s="118"/>
      <c r="AP101" s="120" t="s">
        <v>2097</v>
      </c>
      <c r="AV101" s="30" t="str">
        <f>IFERROR(INDEX('G-7 WaterC'' Data'!$AZ$3:$AZ$7,MATCH(N101,'G-7 WaterC'' Data'!$AY$3:$AY$7,0)),"")</f>
        <v>Rivercond1</v>
      </c>
    </row>
    <row r="102" spans="2:48" ht="28.5" x14ac:dyDescent="0.2">
      <c r="B102" s="392">
        <f>'C-1 On-Site WaterC'' Baseline'!AO100</f>
        <v>97</v>
      </c>
      <c r="C102" s="382" t="str">
        <f>IF(B102="","",VLOOKUP($B102,'C-1 On-Site WaterC'' Baseline'!$C$9:$R$257,2,FALSE))</f>
        <v>Ditches</v>
      </c>
      <c r="D102" s="382">
        <f>IF(C102="","",VLOOKUP($B102,'C-1 On-Site WaterC'' Baseline'!$C$9:$R$257,3,FALSE))</f>
        <v>0.36806693921812556</v>
      </c>
      <c r="E102" s="382" t="str">
        <f>IF(D102="","",VLOOKUP($B102,'C-1 On-Site WaterC'' Baseline'!$C$9:$R$257,4,FALSE))</f>
        <v>Medium</v>
      </c>
      <c r="F102" s="382">
        <f>IF(E102="","",VLOOKUP($B102,'C-1 On-Site WaterC'' Baseline'!$C$9:$R$257,5,FALSE))</f>
        <v>4</v>
      </c>
      <c r="G102" s="382" t="str">
        <f>IF(F102="","",VLOOKUP($B102,'C-1 On-Site WaterC'' Baseline'!$C$9:$R$257,6,FALSE))</f>
        <v>Poor</v>
      </c>
      <c r="H102" s="382">
        <f>IF(G102="","",VLOOKUP($B102,'C-1 On-Site WaterC'' Baseline'!$C$9:$R$257,7,FALSE))</f>
        <v>1</v>
      </c>
      <c r="I102" s="382" t="str">
        <f>IF(H102="","",VLOOKUP($B102,'C-1 On-Site WaterC'' Baseline'!$C$9:$R$257,8,FALSE))</f>
        <v>Area/compensation not in local strategy/ no local strategy</v>
      </c>
      <c r="J102" s="382" t="str">
        <f>IF(I102="","",VLOOKUP($B102,'C-1 On-Site WaterC'' Baseline'!$C$9:$R$257,9,FALSE))</f>
        <v>Low Strategic Significance</v>
      </c>
      <c r="K102" s="382">
        <f>IF(J102="","",VLOOKUP($B102,'C-1 On-Site WaterC'' Baseline'!$C$9:$R$257,10,FALSE))</f>
        <v>1</v>
      </c>
      <c r="L102" s="382" t="str">
        <f>IF(B102="","",VLOOKUP($B102,'C-1 On-Site WaterC'' Baseline'!$C$9:$R$257,15,FALSE))</f>
        <v>Same habitat required =</v>
      </c>
      <c r="M102" s="386">
        <f>IF(L102="","",VLOOKUP($B102,'C-1 On-Site WaterC'' Baseline'!$C$9:$R$257,16,FALSE))</f>
        <v>1.1042008176543767</v>
      </c>
      <c r="N102" s="320" t="str">
        <f t="shared" si="8"/>
        <v>Ditches</v>
      </c>
      <c r="O102" s="362" t="str">
        <f t="shared" si="10"/>
        <v>Medium - Medium</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Poor - Poor</v>
      </c>
      <c r="Q102" s="425">
        <f>IF(N102="","",VLOOKUP(B102,'C-1 On-Site WaterC'' Baseline'!$C$10:$AB$257,19,FALSE))</f>
        <v>0.36806693921812556</v>
      </c>
      <c r="R102" s="362" t="str">
        <f>IF(N102="","",VLOOKUP(N102,'G-7 WaterC'' Data'!$B$2:$G$8,2,FALSE))</f>
        <v>Medium</v>
      </c>
      <c r="S102" s="363">
        <f>IFERROR(VLOOKUP(R102,'G-7 WaterC'' Data'!$C$4:$D$8,2,FALSE),"")</f>
        <v>4</v>
      </c>
      <c r="T102" s="114" t="s">
        <v>329</v>
      </c>
      <c r="U102" s="363">
        <f>IFERROR(INDEX('G-7 WaterC'' Data'!$H$4:$L$8,MATCH(N102,'G-7 WaterC'' Data'!$B$4:$B$8,0),MATCH(T102,'G-7 WaterC'' Data'!$H$3:$L$3,0)),"")</f>
        <v>1</v>
      </c>
      <c r="V102" s="114" t="s">
        <v>1037</v>
      </c>
      <c r="W102" s="370" t="str">
        <f>IF(V102="","",IF(VLOOKUP(V102,'G-7 WaterC'' Data'!$AK$4:$AM$6,2,FALSE)=0,"Spatial Data Missing ⚠",VLOOKUP(V102,'G-7 WaterC'' Data'!$AK$4:$AM$6,2,FALSE)))</f>
        <v>Low Strategic Significance</v>
      </c>
      <c r="X102" s="363">
        <f>IF(V102="","",IF(VLOOKUP(V102,'G-7 WaterC'' Data'!$AK$4:$AM$6,3,FALSE)=0,"Spatial Data Missing ⚠",VLOOKUP(V102,'G-7 WaterC'' Data'!$AK$4:$AM$6,3,FALSE)))</f>
        <v>1</v>
      </c>
      <c r="Y102" s="362">
        <f>IFERROR(IF(OR(LEFT(P102,5)="Error",LEFT(O102,5)="Error ▲"),"Check Data ⚠",IF(F102&lt;S102,'G-7 WaterC'' Data'!$R$3,INDEX('G-7 WaterC'' Data'!$U$5:$Y$9,MATCH(G102,'G-7 WaterC'' Data'!$T$5:$T$9,0),MATCH(T102,'G-7 WaterC'' Data'!$U$4:$Y$4,0)))),"")</f>
        <v>1</v>
      </c>
      <c r="Z102" s="159">
        <v>0</v>
      </c>
      <c r="AA102" s="159">
        <v>0</v>
      </c>
      <c r="AB102" s="370" t="str">
        <f t="shared" si="11"/>
        <v>Standard time to target condition applied</v>
      </c>
      <c r="AC102" s="383">
        <f t="shared" si="12"/>
        <v>1</v>
      </c>
      <c r="AD102" s="422">
        <f>IFERROR(IF(AC102="Check Data ⚠","Check Data ⚠",VLOOKUP(AC102,'G-4 Temporal multipliers'!$A$4:$C$37,3,FALSE)),"")</f>
        <v>0.96499999999999997</v>
      </c>
      <c r="AE102" s="362" t="str">
        <f>IF(N102="","",VLOOKUP(N102,'G-7 WaterC'' Data'!$B$4:$G$8,5,FALSE))</f>
        <v>Medium</v>
      </c>
      <c r="AF102" s="370" t="str">
        <f t="shared" si="13"/>
        <v>Standard difficulty applied</v>
      </c>
      <c r="AG102" s="401" t="str">
        <f t="shared" si="14"/>
        <v>Medium</v>
      </c>
      <c r="AH102" s="363">
        <f t="shared" si="9"/>
        <v>0.67</v>
      </c>
      <c r="AI102" s="122" t="s">
        <v>1126</v>
      </c>
      <c r="AJ102" s="363">
        <f>IF(AI102="","",IF(VLOOKUP(AI102,'G-7 WaterC'' Data'!$AA$4:$AB$7,2,FALSE)=0,"Spatial Data Missing ⚠",VLOOKUP(AI102,'G-7 WaterC'' Data'!$AA$4:$AB$7,2,FALSE)))</f>
        <v>1</v>
      </c>
      <c r="AK102" s="123" t="s">
        <v>1153</v>
      </c>
      <c r="AL102" s="363">
        <f>IF(AK102="","",IF(VLOOKUP(AK102,'G-7 WaterC'' Data'!$AD$4:$AE$14,2,FALSE)=0,"Spatial Data Missing ⚠",VLOOKUP(AK102,'G-7 WaterC'' Data'!$AD$4:$AE$14,2,FALSE)))</f>
        <v>1</v>
      </c>
      <c r="AM102" s="405">
        <f t="shared" si="15"/>
        <v>1.4722677568725022</v>
      </c>
      <c r="AN102" s="117"/>
      <c r="AO102" s="118"/>
      <c r="AP102" s="120" t="s">
        <v>2098</v>
      </c>
      <c r="AV102" s="30" t="str">
        <f>IFERROR(INDEX('G-7 WaterC'' Data'!$AZ$3:$AZ$7,MATCH(N102,'G-7 WaterC'' Data'!$AY$3:$AY$7,0)),"")</f>
        <v>Rivercond1</v>
      </c>
    </row>
    <row r="103" spans="2:48" ht="28.5" x14ac:dyDescent="0.2">
      <c r="B103" s="392">
        <f>'C-1 On-Site WaterC'' Baseline'!AO101</f>
        <v>98</v>
      </c>
      <c r="C103" s="382" t="str">
        <f>IF(B103="","",VLOOKUP($B103,'C-1 On-Site WaterC'' Baseline'!$C$9:$R$257,2,FALSE))</f>
        <v>Ditches</v>
      </c>
      <c r="D103" s="382">
        <f>IF(C103="","",VLOOKUP($B103,'C-1 On-Site WaterC'' Baseline'!$C$9:$R$257,3,FALSE))</f>
        <v>0.61487744484496176</v>
      </c>
      <c r="E103" s="382" t="str">
        <f>IF(D103="","",VLOOKUP($B103,'C-1 On-Site WaterC'' Baseline'!$C$9:$R$257,4,FALSE))</f>
        <v>Medium</v>
      </c>
      <c r="F103" s="382">
        <f>IF(E103="","",VLOOKUP($B103,'C-1 On-Site WaterC'' Baseline'!$C$9:$R$257,5,FALSE))</f>
        <v>4</v>
      </c>
      <c r="G103" s="382" t="str">
        <f>IF(F103="","",VLOOKUP($B103,'C-1 On-Site WaterC'' Baseline'!$C$9:$R$257,6,FALSE))</f>
        <v>Poor</v>
      </c>
      <c r="H103" s="382">
        <f>IF(G103="","",VLOOKUP($B103,'C-1 On-Site WaterC'' Baseline'!$C$9:$R$257,7,FALSE))</f>
        <v>1</v>
      </c>
      <c r="I103" s="382" t="str">
        <f>IF(H103="","",VLOOKUP($B103,'C-1 On-Site WaterC'' Baseline'!$C$9:$R$257,8,FALSE))</f>
        <v>Area/compensation not in local strategy/ no local strategy</v>
      </c>
      <c r="J103" s="382" t="str">
        <f>IF(I103="","",VLOOKUP($B103,'C-1 On-Site WaterC'' Baseline'!$C$9:$R$257,9,FALSE))</f>
        <v>Low Strategic Significance</v>
      </c>
      <c r="K103" s="382">
        <f>IF(J103="","",VLOOKUP($B103,'C-1 On-Site WaterC'' Baseline'!$C$9:$R$257,10,FALSE))</f>
        <v>1</v>
      </c>
      <c r="L103" s="382" t="str">
        <f>IF(B103="","",VLOOKUP($B103,'C-1 On-Site WaterC'' Baseline'!$C$9:$R$257,15,FALSE))</f>
        <v>Same habitat required =</v>
      </c>
      <c r="M103" s="386">
        <f>IF(L103="","",VLOOKUP($B103,'C-1 On-Site WaterC'' Baseline'!$C$9:$R$257,16,FALSE))</f>
        <v>1.8446323345348854</v>
      </c>
      <c r="N103" s="320" t="str">
        <f t="shared" si="8"/>
        <v>Ditches</v>
      </c>
      <c r="O103" s="362" t="str">
        <f t="shared" si="10"/>
        <v>Medium - Medium</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Poor - Poor</v>
      </c>
      <c r="Q103" s="425">
        <f>IF(N103="","",VLOOKUP(B103,'C-1 On-Site WaterC'' Baseline'!$C$10:$AB$257,19,FALSE))</f>
        <v>0.61487744484496176</v>
      </c>
      <c r="R103" s="362" t="str">
        <f>IF(N103="","",VLOOKUP(N103,'G-7 WaterC'' Data'!$B$2:$G$8,2,FALSE))</f>
        <v>Medium</v>
      </c>
      <c r="S103" s="363">
        <f>IFERROR(VLOOKUP(R103,'G-7 WaterC'' Data'!$C$4:$D$8,2,FALSE),"")</f>
        <v>4</v>
      </c>
      <c r="T103" s="114" t="s">
        <v>329</v>
      </c>
      <c r="U103" s="363">
        <f>IFERROR(INDEX('G-7 WaterC'' Data'!$H$4:$L$8,MATCH(N103,'G-7 WaterC'' Data'!$B$4:$B$8,0),MATCH(T103,'G-7 WaterC'' Data'!$H$3:$L$3,0)),"")</f>
        <v>1</v>
      </c>
      <c r="V103" s="114" t="s">
        <v>1037</v>
      </c>
      <c r="W103" s="370" t="str">
        <f>IF(V103="","",IF(VLOOKUP(V103,'G-7 WaterC'' Data'!$AK$4:$AM$6,2,FALSE)=0,"Spatial Data Missing ⚠",VLOOKUP(V103,'G-7 WaterC'' Data'!$AK$4:$AM$6,2,FALSE)))</f>
        <v>Low Strategic Significance</v>
      </c>
      <c r="X103" s="363">
        <f>IF(V103="","",IF(VLOOKUP(V103,'G-7 WaterC'' Data'!$AK$4:$AM$6,3,FALSE)=0,"Spatial Data Missing ⚠",VLOOKUP(V103,'G-7 WaterC'' Data'!$AK$4:$AM$6,3,FALSE)))</f>
        <v>1</v>
      </c>
      <c r="Y103" s="362">
        <f>IFERROR(IF(OR(LEFT(P103,5)="Error",LEFT(O103,5)="Error ▲"),"Check Data ⚠",IF(F103&lt;S103,'G-7 WaterC'' Data'!$R$3,INDEX('G-7 WaterC'' Data'!$U$5:$Y$9,MATCH(G103,'G-7 WaterC'' Data'!$T$5:$T$9,0),MATCH(T103,'G-7 WaterC'' Data'!$U$4:$Y$4,0)))),"")</f>
        <v>1</v>
      </c>
      <c r="Z103" s="159">
        <v>0</v>
      </c>
      <c r="AA103" s="159">
        <v>0</v>
      </c>
      <c r="AB103" s="370" t="str">
        <f t="shared" si="11"/>
        <v>Standard time to target condition applied</v>
      </c>
      <c r="AC103" s="383">
        <f t="shared" si="12"/>
        <v>1</v>
      </c>
      <c r="AD103" s="422">
        <f>IFERROR(IF(AC103="Check Data ⚠","Check Data ⚠",VLOOKUP(AC103,'G-4 Temporal multipliers'!$A$4:$C$37,3,FALSE)),"")</f>
        <v>0.96499999999999997</v>
      </c>
      <c r="AE103" s="362" t="str">
        <f>IF(N103="","",VLOOKUP(N103,'G-7 WaterC'' Data'!$B$4:$G$8,5,FALSE))</f>
        <v>Medium</v>
      </c>
      <c r="AF103" s="370" t="str">
        <f t="shared" si="13"/>
        <v>Standard difficulty applied</v>
      </c>
      <c r="AG103" s="401" t="str">
        <f t="shared" si="14"/>
        <v>Medium</v>
      </c>
      <c r="AH103" s="363">
        <f t="shared" si="9"/>
        <v>0.67</v>
      </c>
      <c r="AI103" s="122" t="s">
        <v>1126</v>
      </c>
      <c r="AJ103" s="363">
        <f>IF(AI103="","",IF(VLOOKUP(AI103,'G-7 WaterC'' Data'!$AA$4:$AB$7,2,FALSE)=0,"Spatial Data Missing ⚠",VLOOKUP(AI103,'G-7 WaterC'' Data'!$AA$4:$AB$7,2,FALSE)))</f>
        <v>1</v>
      </c>
      <c r="AK103" s="123" t="s">
        <v>1142</v>
      </c>
      <c r="AL103" s="363">
        <f>IF(AK103="","",IF(VLOOKUP(AK103,'G-7 WaterC'' Data'!$AD$4:$AE$14,2,FALSE)=0,"Spatial Data Missing ⚠",VLOOKUP(AK103,'G-7 WaterC'' Data'!$AD$4:$AE$14,2,FALSE)))</f>
        <v>0.87</v>
      </c>
      <c r="AM103" s="405">
        <f t="shared" si="15"/>
        <v>2.139773508060467</v>
      </c>
      <c r="AN103" s="117"/>
      <c r="AO103" s="118"/>
      <c r="AP103" s="120" t="s">
        <v>2099</v>
      </c>
      <c r="AV103" s="30" t="str">
        <f>IFERROR(INDEX('G-7 WaterC'' Data'!$AZ$3:$AZ$7,MATCH(N103,'G-7 WaterC'' Data'!$AY$3:$AY$7,0)),"")</f>
        <v>Rivercond1</v>
      </c>
    </row>
    <row r="104" spans="2:48" ht="28.5" x14ac:dyDescent="0.2">
      <c r="B104" s="392">
        <f>'C-1 On-Site WaterC'' Baseline'!AO102</f>
        <v>99</v>
      </c>
      <c r="C104" s="382" t="str">
        <f>IF(B104="","",VLOOKUP($B104,'C-1 On-Site WaterC'' Baseline'!$C$9:$R$257,2,FALSE))</f>
        <v>Ditches</v>
      </c>
      <c r="D104" s="382">
        <f>IF(C104="","",VLOOKUP($B104,'C-1 On-Site WaterC'' Baseline'!$C$9:$R$257,3,FALSE))</f>
        <v>0.69268763033653413</v>
      </c>
      <c r="E104" s="382" t="str">
        <f>IF(D104="","",VLOOKUP($B104,'C-1 On-Site WaterC'' Baseline'!$C$9:$R$257,4,FALSE))</f>
        <v>Medium</v>
      </c>
      <c r="F104" s="382">
        <f>IF(E104="","",VLOOKUP($B104,'C-1 On-Site WaterC'' Baseline'!$C$9:$R$257,5,FALSE))</f>
        <v>4</v>
      </c>
      <c r="G104" s="382" t="str">
        <f>IF(F104="","",VLOOKUP($B104,'C-1 On-Site WaterC'' Baseline'!$C$9:$R$257,6,FALSE))</f>
        <v>Poor</v>
      </c>
      <c r="H104" s="382">
        <f>IF(G104="","",VLOOKUP($B104,'C-1 On-Site WaterC'' Baseline'!$C$9:$R$257,7,FALSE))</f>
        <v>1</v>
      </c>
      <c r="I104" s="382" t="str">
        <f>IF(H104="","",VLOOKUP($B104,'C-1 On-Site WaterC'' Baseline'!$C$9:$R$257,8,FALSE))</f>
        <v>Area/compensation not in local strategy/ no local strategy</v>
      </c>
      <c r="J104" s="382" t="str">
        <f>IF(I104="","",VLOOKUP($B104,'C-1 On-Site WaterC'' Baseline'!$C$9:$R$257,9,FALSE))</f>
        <v>Low Strategic Significance</v>
      </c>
      <c r="K104" s="382">
        <f>IF(J104="","",VLOOKUP($B104,'C-1 On-Site WaterC'' Baseline'!$C$9:$R$257,10,FALSE))</f>
        <v>1</v>
      </c>
      <c r="L104" s="382" t="str">
        <f>IF(B104="","",VLOOKUP($B104,'C-1 On-Site WaterC'' Baseline'!$C$9:$R$257,15,FALSE))</f>
        <v>Same habitat required =</v>
      </c>
      <c r="M104" s="386">
        <f>IF(L104="","",VLOOKUP($B104,'C-1 On-Site WaterC'' Baseline'!$C$9:$R$257,16,FALSE))</f>
        <v>2.0780628910096022</v>
      </c>
      <c r="N104" s="320" t="str">
        <f t="shared" si="8"/>
        <v>Ditches</v>
      </c>
      <c r="O104" s="362" t="str">
        <f t="shared" si="10"/>
        <v>Medium - Medium</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Poor - Poor</v>
      </c>
      <c r="Q104" s="425">
        <f>IF(N104="","",VLOOKUP(B104,'C-1 On-Site WaterC'' Baseline'!$C$10:$AB$257,19,FALSE))</f>
        <v>0.69268763033653413</v>
      </c>
      <c r="R104" s="362" t="str">
        <f>IF(N104="","",VLOOKUP(N104,'G-7 WaterC'' Data'!$B$2:$G$8,2,FALSE))</f>
        <v>Medium</v>
      </c>
      <c r="S104" s="363">
        <f>IFERROR(VLOOKUP(R104,'G-7 WaterC'' Data'!$C$4:$D$8,2,FALSE),"")</f>
        <v>4</v>
      </c>
      <c r="T104" s="114" t="s">
        <v>329</v>
      </c>
      <c r="U104" s="363">
        <f>IFERROR(INDEX('G-7 WaterC'' Data'!$H$4:$L$8,MATCH(N104,'G-7 WaterC'' Data'!$B$4:$B$8,0),MATCH(T104,'G-7 WaterC'' Data'!$H$3:$L$3,0)),"")</f>
        <v>1</v>
      </c>
      <c r="V104" s="114" t="s">
        <v>1037</v>
      </c>
      <c r="W104" s="370" t="str">
        <f>IF(V104="","",IF(VLOOKUP(V104,'G-7 WaterC'' Data'!$AK$4:$AM$6,2,FALSE)=0,"Spatial Data Missing ⚠",VLOOKUP(V104,'G-7 WaterC'' Data'!$AK$4:$AM$6,2,FALSE)))</f>
        <v>Low Strategic Significance</v>
      </c>
      <c r="X104" s="363">
        <f>IF(V104="","",IF(VLOOKUP(V104,'G-7 WaterC'' Data'!$AK$4:$AM$6,3,FALSE)=0,"Spatial Data Missing ⚠",VLOOKUP(V104,'G-7 WaterC'' Data'!$AK$4:$AM$6,3,FALSE)))</f>
        <v>1</v>
      </c>
      <c r="Y104" s="362">
        <f>IFERROR(IF(OR(LEFT(P104,5)="Error",LEFT(O104,5)="Error ▲"),"Check Data ⚠",IF(F104&lt;S104,'G-7 WaterC'' Data'!$R$3,INDEX('G-7 WaterC'' Data'!$U$5:$Y$9,MATCH(G104,'G-7 WaterC'' Data'!$T$5:$T$9,0),MATCH(T104,'G-7 WaterC'' Data'!$U$4:$Y$4,0)))),"")</f>
        <v>1</v>
      </c>
      <c r="Z104" s="159">
        <v>0</v>
      </c>
      <c r="AA104" s="159">
        <v>0</v>
      </c>
      <c r="AB104" s="370" t="str">
        <f t="shared" si="11"/>
        <v>Standard time to target condition applied</v>
      </c>
      <c r="AC104" s="383">
        <f t="shared" si="12"/>
        <v>1</v>
      </c>
      <c r="AD104" s="422">
        <f>IFERROR(IF(AC104="Check Data ⚠","Check Data ⚠",VLOOKUP(AC104,'G-4 Temporal multipliers'!$A$4:$C$37,3,FALSE)),"")</f>
        <v>0.96499999999999997</v>
      </c>
      <c r="AE104" s="362" t="str">
        <f>IF(N104="","",VLOOKUP(N104,'G-7 WaterC'' Data'!$B$4:$G$8,5,FALSE))</f>
        <v>Medium</v>
      </c>
      <c r="AF104" s="370" t="str">
        <f t="shared" si="13"/>
        <v>Standard difficulty applied</v>
      </c>
      <c r="AG104" s="401" t="str">
        <f t="shared" si="14"/>
        <v>Medium</v>
      </c>
      <c r="AH104" s="363">
        <f t="shared" si="9"/>
        <v>0.67</v>
      </c>
      <c r="AI104" s="122" t="s">
        <v>1126</v>
      </c>
      <c r="AJ104" s="363">
        <f>IF(AI104="","",IF(VLOOKUP(AI104,'G-7 WaterC'' Data'!$AA$4:$AB$7,2,FALSE)=0,"Spatial Data Missing ⚠",VLOOKUP(AI104,'G-7 WaterC'' Data'!$AA$4:$AB$7,2,FALSE)))</f>
        <v>1</v>
      </c>
      <c r="AK104" s="123" t="s">
        <v>1142</v>
      </c>
      <c r="AL104" s="363">
        <f>IF(AK104="","",IF(VLOOKUP(AK104,'G-7 WaterC'' Data'!$AD$4:$AE$14,2,FALSE)=0,"Spatial Data Missing ⚠",VLOOKUP(AK104,'G-7 WaterC'' Data'!$AD$4:$AE$14,2,FALSE)))</f>
        <v>0.87</v>
      </c>
      <c r="AM104" s="405">
        <f t="shared" si="15"/>
        <v>2.410552953571139</v>
      </c>
      <c r="AN104" s="117"/>
      <c r="AO104" s="118"/>
      <c r="AP104" s="120" t="s">
        <v>2100</v>
      </c>
      <c r="AV104" s="30" t="str">
        <f>IFERROR(INDEX('G-7 WaterC'' Data'!$AZ$3:$AZ$7,MATCH(N104,'G-7 WaterC'' Data'!$AY$3:$AY$7,0)),"")</f>
        <v>Rivercond1</v>
      </c>
    </row>
    <row r="105" spans="2:48" ht="28.5" x14ac:dyDescent="0.2">
      <c r="B105" s="392">
        <f>'C-1 On-Site WaterC'' Baseline'!AO103</f>
        <v>100</v>
      </c>
      <c r="C105" s="382" t="str">
        <f>IF(B105="","",VLOOKUP($B105,'C-1 On-Site WaterC'' Baseline'!$C$9:$R$257,2,FALSE))</f>
        <v>Ditches</v>
      </c>
      <c r="D105" s="382">
        <f>IF(C105="","",VLOOKUP($B105,'C-1 On-Site WaterC'' Baseline'!$C$9:$R$257,3,FALSE))</f>
        <v>0.11523227179841747</v>
      </c>
      <c r="E105" s="382" t="str">
        <f>IF(D105="","",VLOOKUP($B105,'C-1 On-Site WaterC'' Baseline'!$C$9:$R$257,4,FALSE))</f>
        <v>Medium</v>
      </c>
      <c r="F105" s="382">
        <f>IF(E105="","",VLOOKUP($B105,'C-1 On-Site WaterC'' Baseline'!$C$9:$R$257,5,FALSE))</f>
        <v>4</v>
      </c>
      <c r="G105" s="382" t="str">
        <f>IF(F105="","",VLOOKUP($B105,'C-1 On-Site WaterC'' Baseline'!$C$9:$R$257,6,FALSE))</f>
        <v>Poor</v>
      </c>
      <c r="H105" s="382">
        <f>IF(G105="","",VLOOKUP($B105,'C-1 On-Site WaterC'' Baseline'!$C$9:$R$257,7,FALSE))</f>
        <v>1</v>
      </c>
      <c r="I105" s="382" t="str">
        <f>IF(H105="","",VLOOKUP($B105,'C-1 On-Site WaterC'' Baseline'!$C$9:$R$257,8,FALSE))</f>
        <v>Formally identified in local strategy</v>
      </c>
      <c r="J105" s="382" t="str">
        <f>IF(I105="","",VLOOKUP($B105,'C-1 On-Site WaterC'' Baseline'!$C$9:$R$257,9,FALSE))</f>
        <v xml:space="preserve">High strategic significance </v>
      </c>
      <c r="K105" s="382">
        <f>IF(J105="","",VLOOKUP($B105,'C-1 On-Site WaterC'' Baseline'!$C$9:$R$257,10,FALSE))</f>
        <v>1.1499999999999999</v>
      </c>
      <c r="L105" s="382" t="str">
        <f>IF(B105="","",VLOOKUP($B105,'C-1 On-Site WaterC'' Baseline'!$C$9:$R$257,15,FALSE))</f>
        <v>Same habitat required =</v>
      </c>
      <c r="M105" s="386">
        <f>IF(L105="","",VLOOKUP($B105,'C-1 On-Site WaterC'' Baseline'!$C$9:$R$257,16,FALSE))</f>
        <v>0.39755133770454021</v>
      </c>
      <c r="N105" s="320" t="str">
        <f t="shared" si="8"/>
        <v>Ditches</v>
      </c>
      <c r="O105" s="362" t="str">
        <f t="shared" si="10"/>
        <v>Medium - Medium</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Poor - Poor</v>
      </c>
      <c r="Q105" s="425">
        <f>IF(N105="","",VLOOKUP(B105,'C-1 On-Site WaterC'' Baseline'!$C$10:$AB$257,19,FALSE))</f>
        <v>0.11523227179841747</v>
      </c>
      <c r="R105" s="362" t="str">
        <f>IF(N105="","",VLOOKUP(N105,'G-7 WaterC'' Data'!$B$2:$G$8,2,FALSE))</f>
        <v>Medium</v>
      </c>
      <c r="S105" s="363">
        <f>IFERROR(VLOOKUP(R105,'G-7 WaterC'' Data'!$C$4:$D$8,2,FALSE),"")</f>
        <v>4</v>
      </c>
      <c r="T105" s="114" t="s">
        <v>329</v>
      </c>
      <c r="U105" s="363">
        <f>IFERROR(INDEX('G-7 WaterC'' Data'!$H$4:$L$8,MATCH(N105,'G-7 WaterC'' Data'!$B$4:$B$8,0),MATCH(T105,'G-7 WaterC'' Data'!$H$3:$L$3,0)),"")</f>
        <v>1</v>
      </c>
      <c r="V105" s="114" t="s">
        <v>1029</v>
      </c>
      <c r="W105" s="370" t="str">
        <f>IF(V105="","",IF(VLOOKUP(V105,'G-7 WaterC'' Data'!$AK$4:$AM$6,2,FALSE)=0,"Spatial Data Missing ⚠",VLOOKUP(V105,'G-7 WaterC'' Data'!$AK$4:$AM$6,2,FALSE)))</f>
        <v xml:space="preserve">High strategic significance </v>
      </c>
      <c r="X105" s="363">
        <f>IF(V105="","",IF(VLOOKUP(V105,'G-7 WaterC'' Data'!$AK$4:$AM$6,3,FALSE)=0,"Spatial Data Missing ⚠",VLOOKUP(V105,'G-7 WaterC'' Data'!$AK$4:$AM$6,3,FALSE)))</f>
        <v>1.1499999999999999</v>
      </c>
      <c r="Y105" s="362">
        <f>IFERROR(IF(OR(LEFT(P105,5)="Error",LEFT(O105,5)="Error ▲"),"Check Data ⚠",IF(F105&lt;S105,'G-7 WaterC'' Data'!$R$3,INDEX('G-7 WaterC'' Data'!$U$5:$Y$9,MATCH(G105,'G-7 WaterC'' Data'!$T$5:$T$9,0),MATCH(T105,'G-7 WaterC'' Data'!$U$4:$Y$4,0)))),"")</f>
        <v>1</v>
      </c>
      <c r="Z105" s="159">
        <v>0</v>
      </c>
      <c r="AA105" s="159">
        <v>0</v>
      </c>
      <c r="AB105" s="370" t="str">
        <f t="shared" si="11"/>
        <v>Standard time to target condition applied</v>
      </c>
      <c r="AC105" s="383">
        <f t="shared" si="12"/>
        <v>1</v>
      </c>
      <c r="AD105" s="422">
        <f>IFERROR(IF(AC105="Check Data ⚠","Check Data ⚠",VLOOKUP(AC105,'G-4 Temporal multipliers'!$A$4:$C$37,3,FALSE)),"")</f>
        <v>0.96499999999999997</v>
      </c>
      <c r="AE105" s="362" t="str">
        <f>IF(N105="","",VLOOKUP(N105,'G-7 WaterC'' Data'!$B$4:$G$8,5,FALSE))</f>
        <v>Medium</v>
      </c>
      <c r="AF105" s="370" t="str">
        <f t="shared" si="13"/>
        <v>Standard difficulty applied</v>
      </c>
      <c r="AG105" s="401" t="str">
        <f t="shared" si="14"/>
        <v>Medium</v>
      </c>
      <c r="AH105" s="363">
        <f t="shared" si="9"/>
        <v>0.67</v>
      </c>
      <c r="AI105" s="122" t="s">
        <v>1126</v>
      </c>
      <c r="AJ105" s="363">
        <f>IF(AI105="","",IF(VLOOKUP(AI105,'G-7 WaterC'' Data'!$AA$4:$AB$7,2,FALSE)=0,"Spatial Data Missing ⚠",VLOOKUP(AI105,'G-7 WaterC'' Data'!$AA$4:$AB$7,2,FALSE)))</f>
        <v>1</v>
      </c>
      <c r="AK105" s="123" t="s">
        <v>1142</v>
      </c>
      <c r="AL105" s="363">
        <f>IF(AK105="","",IF(VLOOKUP(AK105,'G-7 WaterC'' Data'!$AD$4:$AE$14,2,FALSE)=0,"Spatial Data Missing ⚠",VLOOKUP(AK105,'G-7 WaterC'' Data'!$AD$4:$AE$14,2,FALSE)))</f>
        <v>0.87</v>
      </c>
      <c r="AM105" s="405">
        <f t="shared" si="15"/>
        <v>0.46115955173726669</v>
      </c>
      <c r="AN105" s="117"/>
      <c r="AO105" s="118"/>
      <c r="AP105" s="120" t="s">
        <v>2101</v>
      </c>
      <c r="AV105" s="30" t="str">
        <f>IFERROR(INDEX('G-7 WaterC'' Data'!$AZ$3:$AZ$7,MATCH(N105,'G-7 WaterC'' Data'!$AY$3:$AY$7,0)),"")</f>
        <v>Rivercond1</v>
      </c>
    </row>
    <row r="106" spans="2:48" ht="28.5" x14ac:dyDescent="0.2">
      <c r="B106" s="392">
        <f>'C-1 On-Site WaterC'' Baseline'!AO104</f>
        <v>101</v>
      </c>
      <c r="C106" s="382" t="str">
        <f>IF(B106="","",VLOOKUP($B106,'C-1 On-Site WaterC'' Baseline'!$C$9:$R$257,2,FALSE))</f>
        <v>Ditches</v>
      </c>
      <c r="D106" s="382">
        <f>IF(C106="","",VLOOKUP($B106,'C-1 On-Site WaterC'' Baseline'!$C$9:$R$257,3,FALSE))</f>
        <v>4.6445460029233436E-2</v>
      </c>
      <c r="E106" s="382" t="str">
        <f>IF(D106="","",VLOOKUP($B106,'C-1 On-Site WaterC'' Baseline'!$C$9:$R$257,4,FALSE))</f>
        <v>Medium</v>
      </c>
      <c r="F106" s="382">
        <f>IF(E106="","",VLOOKUP($B106,'C-1 On-Site WaterC'' Baseline'!$C$9:$R$257,5,FALSE))</f>
        <v>4</v>
      </c>
      <c r="G106" s="382" t="str">
        <f>IF(F106="","",VLOOKUP($B106,'C-1 On-Site WaterC'' Baseline'!$C$9:$R$257,6,FALSE))</f>
        <v>Poor</v>
      </c>
      <c r="H106" s="382">
        <f>IF(G106="","",VLOOKUP($B106,'C-1 On-Site WaterC'' Baseline'!$C$9:$R$257,7,FALSE))</f>
        <v>1</v>
      </c>
      <c r="I106" s="382" t="str">
        <f>IF(H106="","",VLOOKUP($B106,'C-1 On-Site WaterC'' Baseline'!$C$9:$R$257,8,FALSE))</f>
        <v>Formally identified in local strategy</v>
      </c>
      <c r="J106" s="382" t="str">
        <f>IF(I106="","",VLOOKUP($B106,'C-1 On-Site WaterC'' Baseline'!$C$9:$R$257,9,FALSE))</f>
        <v xml:space="preserve">High strategic significance </v>
      </c>
      <c r="K106" s="382">
        <f>IF(J106="","",VLOOKUP($B106,'C-1 On-Site WaterC'' Baseline'!$C$9:$R$257,10,FALSE))</f>
        <v>1.1499999999999999</v>
      </c>
      <c r="L106" s="382" t="str">
        <f>IF(B106="","",VLOOKUP($B106,'C-1 On-Site WaterC'' Baseline'!$C$9:$R$257,15,FALSE))</f>
        <v>Same habitat required =</v>
      </c>
      <c r="M106" s="386">
        <f>IF(L106="","",VLOOKUP($B106,'C-1 On-Site WaterC'' Baseline'!$C$9:$R$257,16,FALSE))</f>
        <v>0.16023683710085534</v>
      </c>
      <c r="N106" s="320" t="str">
        <f t="shared" si="8"/>
        <v>Ditches</v>
      </c>
      <c r="O106" s="362" t="str">
        <f t="shared" si="10"/>
        <v>Medium - Medium</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Poor - Poor</v>
      </c>
      <c r="Q106" s="425">
        <f>IF(N106="","",VLOOKUP(B106,'C-1 On-Site WaterC'' Baseline'!$C$10:$AB$257,19,FALSE))</f>
        <v>4.6445460029233436E-2</v>
      </c>
      <c r="R106" s="362" t="str">
        <f>IF(N106="","",VLOOKUP(N106,'G-7 WaterC'' Data'!$B$2:$G$8,2,FALSE))</f>
        <v>Medium</v>
      </c>
      <c r="S106" s="363">
        <f>IFERROR(VLOOKUP(R106,'G-7 WaterC'' Data'!$C$4:$D$8,2,FALSE),"")</f>
        <v>4</v>
      </c>
      <c r="T106" s="114" t="s">
        <v>329</v>
      </c>
      <c r="U106" s="363">
        <f>IFERROR(INDEX('G-7 WaterC'' Data'!$H$4:$L$8,MATCH(N106,'G-7 WaterC'' Data'!$B$4:$B$8,0),MATCH(T106,'G-7 WaterC'' Data'!$H$3:$L$3,0)),"")</f>
        <v>1</v>
      </c>
      <c r="V106" s="114" t="s">
        <v>1029</v>
      </c>
      <c r="W106" s="370" t="str">
        <f>IF(V106="","",IF(VLOOKUP(V106,'G-7 WaterC'' Data'!$AK$4:$AM$6,2,FALSE)=0,"Spatial Data Missing ⚠",VLOOKUP(V106,'G-7 WaterC'' Data'!$AK$4:$AM$6,2,FALSE)))</f>
        <v xml:space="preserve">High strategic significance </v>
      </c>
      <c r="X106" s="363">
        <f>IF(V106="","",IF(VLOOKUP(V106,'G-7 WaterC'' Data'!$AK$4:$AM$6,3,FALSE)=0,"Spatial Data Missing ⚠",VLOOKUP(V106,'G-7 WaterC'' Data'!$AK$4:$AM$6,3,FALSE)))</f>
        <v>1.1499999999999999</v>
      </c>
      <c r="Y106" s="362">
        <f>IFERROR(IF(OR(LEFT(P106,5)="Error",LEFT(O106,5)="Error ▲"),"Check Data ⚠",IF(F106&lt;S106,'G-7 WaterC'' Data'!$R$3,INDEX('G-7 WaterC'' Data'!$U$5:$Y$9,MATCH(G106,'G-7 WaterC'' Data'!$T$5:$T$9,0),MATCH(T106,'G-7 WaterC'' Data'!$U$4:$Y$4,0)))),"")</f>
        <v>1</v>
      </c>
      <c r="Z106" s="159">
        <v>0</v>
      </c>
      <c r="AA106" s="159">
        <v>0</v>
      </c>
      <c r="AB106" s="370" t="str">
        <f t="shared" si="11"/>
        <v>Standard time to target condition applied</v>
      </c>
      <c r="AC106" s="383">
        <f t="shared" si="12"/>
        <v>1</v>
      </c>
      <c r="AD106" s="422">
        <f>IFERROR(IF(AC106="Check Data ⚠","Check Data ⚠",VLOOKUP(AC106,'G-4 Temporal multipliers'!$A$4:$C$37,3,FALSE)),"")</f>
        <v>0.96499999999999997</v>
      </c>
      <c r="AE106" s="362" t="str">
        <f>IF(N106="","",VLOOKUP(N106,'G-7 WaterC'' Data'!$B$4:$G$8,5,FALSE))</f>
        <v>Medium</v>
      </c>
      <c r="AF106" s="370" t="str">
        <f t="shared" si="13"/>
        <v>Standard difficulty applied</v>
      </c>
      <c r="AG106" s="401" t="str">
        <f t="shared" si="14"/>
        <v>Medium</v>
      </c>
      <c r="AH106" s="363">
        <f t="shared" si="9"/>
        <v>0.67</v>
      </c>
      <c r="AI106" s="122" t="s">
        <v>1126</v>
      </c>
      <c r="AJ106" s="363">
        <f>IF(AI106="","",IF(VLOOKUP(AI106,'G-7 WaterC'' Data'!$AA$4:$AB$7,2,FALSE)=0,"Spatial Data Missing ⚠",VLOOKUP(AI106,'G-7 WaterC'' Data'!$AA$4:$AB$7,2,FALSE)))</f>
        <v>1</v>
      </c>
      <c r="AK106" s="123" t="s">
        <v>1142</v>
      </c>
      <c r="AL106" s="363">
        <f>IF(AK106="","",IF(VLOOKUP(AK106,'G-7 WaterC'' Data'!$AD$4:$AE$14,2,FALSE)=0,"Spatial Data Missing ⚠",VLOOKUP(AK106,'G-7 WaterC'' Data'!$AD$4:$AE$14,2,FALSE)))</f>
        <v>0.87</v>
      </c>
      <c r="AM106" s="405">
        <f t="shared" si="15"/>
        <v>0.1858747310369922</v>
      </c>
      <c r="AN106" s="117"/>
      <c r="AO106" s="118"/>
      <c r="AP106" s="120" t="s">
        <v>2102</v>
      </c>
      <c r="AV106" s="30" t="str">
        <f>IFERROR(INDEX('G-7 WaterC'' Data'!$AZ$3:$AZ$7,MATCH(N106,'G-7 WaterC'' Data'!$AY$3:$AY$7,0)),"")</f>
        <v>Rivercond1</v>
      </c>
    </row>
    <row r="107" spans="2:48" ht="28.5" x14ac:dyDescent="0.2">
      <c r="B107" s="392">
        <f>'C-1 On-Site WaterC'' Baseline'!AO105</f>
        <v>102</v>
      </c>
      <c r="C107" s="382" t="str">
        <f>IF(B107="","",VLOOKUP($B107,'C-1 On-Site WaterC'' Baseline'!$C$9:$R$257,2,FALSE))</f>
        <v>Ditches</v>
      </c>
      <c r="D107" s="382">
        <f>IF(C107="","",VLOOKUP($B107,'C-1 On-Site WaterC'' Baseline'!$C$9:$R$257,3,FALSE))</f>
        <v>0.57701893230349133</v>
      </c>
      <c r="E107" s="382" t="str">
        <f>IF(D107="","",VLOOKUP($B107,'C-1 On-Site WaterC'' Baseline'!$C$9:$R$257,4,FALSE))</f>
        <v>Medium</v>
      </c>
      <c r="F107" s="382">
        <f>IF(E107="","",VLOOKUP($B107,'C-1 On-Site WaterC'' Baseline'!$C$9:$R$257,5,FALSE))</f>
        <v>4</v>
      </c>
      <c r="G107" s="382" t="str">
        <f>IF(F107="","",VLOOKUP($B107,'C-1 On-Site WaterC'' Baseline'!$C$9:$R$257,6,FALSE))</f>
        <v>Poor</v>
      </c>
      <c r="H107" s="382">
        <f>IF(G107="","",VLOOKUP($B107,'C-1 On-Site WaterC'' Baseline'!$C$9:$R$257,7,FALSE))</f>
        <v>1</v>
      </c>
      <c r="I107" s="382" t="str">
        <f>IF(H107="","",VLOOKUP($B107,'C-1 On-Site WaterC'' Baseline'!$C$9:$R$257,8,FALSE))</f>
        <v>Area/compensation not in local strategy/ no local strategy</v>
      </c>
      <c r="J107" s="382" t="str">
        <f>IF(I107="","",VLOOKUP($B107,'C-1 On-Site WaterC'' Baseline'!$C$9:$R$257,9,FALSE))</f>
        <v>Low Strategic Significance</v>
      </c>
      <c r="K107" s="382">
        <f>IF(J107="","",VLOOKUP($B107,'C-1 On-Site WaterC'' Baseline'!$C$9:$R$257,10,FALSE))</f>
        <v>1</v>
      </c>
      <c r="L107" s="382" t="str">
        <f>IF(B107="","",VLOOKUP($B107,'C-1 On-Site WaterC'' Baseline'!$C$9:$R$257,15,FALSE))</f>
        <v>Same habitat required =</v>
      </c>
      <c r="M107" s="386">
        <f>IF(L107="","",VLOOKUP($B107,'C-1 On-Site WaterC'' Baseline'!$C$9:$R$257,16,FALSE))</f>
        <v>1.731056796910474</v>
      </c>
      <c r="N107" s="320" t="str">
        <f t="shared" si="8"/>
        <v>Ditches</v>
      </c>
      <c r="O107" s="362" t="str">
        <f t="shared" si="10"/>
        <v>Medium - Medium</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Poor - Poor</v>
      </c>
      <c r="Q107" s="425">
        <f>IF(N107="","",VLOOKUP(B107,'C-1 On-Site WaterC'' Baseline'!$C$10:$AB$257,19,FALSE))</f>
        <v>0.57701893230349133</v>
      </c>
      <c r="R107" s="362" t="str">
        <f>IF(N107="","",VLOOKUP(N107,'G-7 WaterC'' Data'!$B$2:$G$8,2,FALSE))</f>
        <v>Medium</v>
      </c>
      <c r="S107" s="363">
        <f>IFERROR(VLOOKUP(R107,'G-7 WaterC'' Data'!$C$4:$D$8,2,FALSE),"")</f>
        <v>4</v>
      </c>
      <c r="T107" s="114" t="s">
        <v>329</v>
      </c>
      <c r="U107" s="363">
        <f>IFERROR(INDEX('G-7 WaterC'' Data'!$H$4:$L$8,MATCH(N107,'G-7 WaterC'' Data'!$B$4:$B$8,0),MATCH(T107,'G-7 WaterC'' Data'!$H$3:$L$3,0)),"")</f>
        <v>1</v>
      </c>
      <c r="V107" s="114" t="s">
        <v>1037</v>
      </c>
      <c r="W107" s="370" t="str">
        <f>IF(V107="","",IF(VLOOKUP(V107,'G-7 WaterC'' Data'!$AK$4:$AM$6,2,FALSE)=0,"Spatial Data Missing ⚠",VLOOKUP(V107,'G-7 WaterC'' Data'!$AK$4:$AM$6,2,FALSE)))</f>
        <v>Low Strategic Significance</v>
      </c>
      <c r="X107" s="363">
        <f>IF(V107="","",IF(VLOOKUP(V107,'G-7 WaterC'' Data'!$AK$4:$AM$6,3,FALSE)=0,"Spatial Data Missing ⚠",VLOOKUP(V107,'G-7 WaterC'' Data'!$AK$4:$AM$6,3,FALSE)))</f>
        <v>1</v>
      </c>
      <c r="Y107" s="362">
        <f>IFERROR(IF(OR(LEFT(P107,5)="Error",LEFT(O107,5)="Error ▲"),"Check Data ⚠",IF(F107&lt;S107,'G-7 WaterC'' Data'!$R$3,INDEX('G-7 WaterC'' Data'!$U$5:$Y$9,MATCH(G107,'G-7 WaterC'' Data'!$T$5:$T$9,0),MATCH(T107,'G-7 WaterC'' Data'!$U$4:$Y$4,0)))),"")</f>
        <v>1</v>
      </c>
      <c r="Z107" s="159">
        <v>0</v>
      </c>
      <c r="AA107" s="159">
        <v>0</v>
      </c>
      <c r="AB107" s="370" t="str">
        <f t="shared" si="11"/>
        <v>Standard time to target condition applied</v>
      </c>
      <c r="AC107" s="383">
        <f t="shared" si="12"/>
        <v>1</v>
      </c>
      <c r="AD107" s="422">
        <f>IFERROR(IF(AC107="Check Data ⚠","Check Data ⚠",VLOOKUP(AC107,'G-4 Temporal multipliers'!$A$4:$C$37,3,FALSE)),"")</f>
        <v>0.96499999999999997</v>
      </c>
      <c r="AE107" s="362" t="str">
        <f>IF(N107="","",VLOOKUP(N107,'G-7 WaterC'' Data'!$B$4:$G$8,5,FALSE))</f>
        <v>Medium</v>
      </c>
      <c r="AF107" s="370" t="str">
        <f t="shared" si="13"/>
        <v>Standard difficulty applied</v>
      </c>
      <c r="AG107" s="401" t="str">
        <f t="shared" si="14"/>
        <v>Medium</v>
      </c>
      <c r="AH107" s="363">
        <f t="shared" si="9"/>
        <v>0.67</v>
      </c>
      <c r="AI107" s="122" t="s">
        <v>1126</v>
      </c>
      <c r="AJ107" s="363">
        <f>IF(AI107="","",IF(VLOOKUP(AI107,'G-7 WaterC'' Data'!$AA$4:$AB$7,2,FALSE)=0,"Spatial Data Missing ⚠",VLOOKUP(AI107,'G-7 WaterC'' Data'!$AA$4:$AB$7,2,FALSE)))</f>
        <v>1</v>
      </c>
      <c r="AK107" s="123" t="s">
        <v>1142</v>
      </c>
      <c r="AL107" s="363">
        <f>IF(AK107="","",IF(VLOOKUP(AK107,'G-7 WaterC'' Data'!$AD$4:$AE$14,2,FALSE)=0,"Spatial Data Missing ⚠",VLOOKUP(AK107,'G-7 WaterC'' Data'!$AD$4:$AE$14,2,FALSE)))</f>
        <v>0.87</v>
      </c>
      <c r="AM107" s="405">
        <f t="shared" si="15"/>
        <v>2.0080258844161496</v>
      </c>
      <c r="AN107" s="117"/>
      <c r="AO107" s="118"/>
      <c r="AP107" s="120" t="s">
        <v>2103</v>
      </c>
      <c r="AV107" s="30" t="str">
        <f>IFERROR(INDEX('G-7 WaterC'' Data'!$AZ$3:$AZ$7,MATCH(N107,'G-7 WaterC'' Data'!$AY$3:$AY$7,0)),"")</f>
        <v>Rivercond1</v>
      </c>
    </row>
    <row r="108" spans="2:48" ht="28.5" x14ac:dyDescent="0.2">
      <c r="B108" s="392">
        <f>'C-1 On-Site WaterC'' Baseline'!AO106</f>
        <v>103</v>
      </c>
      <c r="C108" s="382" t="str">
        <f>IF(B108="","",VLOOKUP($B108,'C-1 On-Site WaterC'' Baseline'!$C$9:$R$257,2,FALSE))</f>
        <v>Ditches</v>
      </c>
      <c r="D108" s="382">
        <f>IF(C108="","",VLOOKUP($B108,'C-1 On-Site WaterC'' Baseline'!$C$9:$R$257,3,FALSE))</f>
        <v>6.5800774914544571E-2</v>
      </c>
      <c r="E108" s="382" t="str">
        <f>IF(D108="","",VLOOKUP($B108,'C-1 On-Site WaterC'' Baseline'!$C$9:$R$257,4,FALSE))</f>
        <v>Medium</v>
      </c>
      <c r="F108" s="382">
        <f>IF(E108="","",VLOOKUP($B108,'C-1 On-Site WaterC'' Baseline'!$C$9:$R$257,5,FALSE))</f>
        <v>4</v>
      </c>
      <c r="G108" s="382" t="str">
        <f>IF(F108="","",VLOOKUP($B108,'C-1 On-Site WaterC'' Baseline'!$C$9:$R$257,6,FALSE))</f>
        <v>Poor</v>
      </c>
      <c r="H108" s="382">
        <f>IF(G108="","",VLOOKUP($B108,'C-1 On-Site WaterC'' Baseline'!$C$9:$R$257,7,FALSE))</f>
        <v>1</v>
      </c>
      <c r="I108" s="382" t="str">
        <f>IF(H108="","",VLOOKUP($B108,'C-1 On-Site WaterC'' Baseline'!$C$9:$R$257,8,FALSE))</f>
        <v>Area/compensation not in local strategy/ no local strategy</v>
      </c>
      <c r="J108" s="382" t="str">
        <f>IF(I108="","",VLOOKUP($B108,'C-1 On-Site WaterC'' Baseline'!$C$9:$R$257,9,FALSE))</f>
        <v>Low Strategic Significance</v>
      </c>
      <c r="K108" s="382">
        <f>IF(J108="","",VLOOKUP($B108,'C-1 On-Site WaterC'' Baseline'!$C$9:$R$257,10,FALSE))</f>
        <v>1</v>
      </c>
      <c r="L108" s="382" t="str">
        <f>IF(B108="","",VLOOKUP($B108,'C-1 On-Site WaterC'' Baseline'!$C$9:$R$257,15,FALSE))</f>
        <v>Same habitat required =</v>
      </c>
      <c r="M108" s="386">
        <f>IF(L108="","",VLOOKUP($B108,'C-1 On-Site WaterC'' Baseline'!$C$9:$R$257,16,FALSE))</f>
        <v>0.19740232474363373</v>
      </c>
      <c r="N108" s="320" t="str">
        <f t="shared" si="8"/>
        <v>Ditches</v>
      </c>
      <c r="O108" s="362" t="str">
        <f t="shared" si="10"/>
        <v>Medium - Medium</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Poor - Poor</v>
      </c>
      <c r="Q108" s="425">
        <f>IF(N108="","",VLOOKUP(B108,'C-1 On-Site WaterC'' Baseline'!$C$10:$AB$257,19,FALSE))</f>
        <v>6.5800774914544571E-2</v>
      </c>
      <c r="R108" s="362" t="str">
        <f>IF(N108="","",VLOOKUP(N108,'G-7 WaterC'' Data'!$B$2:$G$8,2,FALSE))</f>
        <v>Medium</v>
      </c>
      <c r="S108" s="363">
        <f>IFERROR(VLOOKUP(R108,'G-7 WaterC'' Data'!$C$4:$D$8,2,FALSE),"")</f>
        <v>4</v>
      </c>
      <c r="T108" s="114" t="s">
        <v>329</v>
      </c>
      <c r="U108" s="363">
        <f>IFERROR(INDEX('G-7 WaterC'' Data'!$H$4:$L$8,MATCH(N108,'G-7 WaterC'' Data'!$B$4:$B$8,0),MATCH(T108,'G-7 WaterC'' Data'!$H$3:$L$3,0)),"")</f>
        <v>1</v>
      </c>
      <c r="V108" s="114" t="s">
        <v>1037</v>
      </c>
      <c r="W108" s="370" t="str">
        <f>IF(V108="","",IF(VLOOKUP(V108,'G-7 WaterC'' Data'!$AK$4:$AM$6,2,FALSE)=0,"Spatial Data Missing ⚠",VLOOKUP(V108,'G-7 WaterC'' Data'!$AK$4:$AM$6,2,FALSE)))</f>
        <v>Low Strategic Significance</v>
      </c>
      <c r="X108" s="363">
        <f>IF(V108="","",IF(VLOOKUP(V108,'G-7 WaterC'' Data'!$AK$4:$AM$6,3,FALSE)=0,"Spatial Data Missing ⚠",VLOOKUP(V108,'G-7 WaterC'' Data'!$AK$4:$AM$6,3,FALSE)))</f>
        <v>1</v>
      </c>
      <c r="Y108" s="362">
        <f>IFERROR(IF(OR(LEFT(P108,5)="Error",LEFT(O108,5)="Error ▲"),"Check Data ⚠",IF(F108&lt;S108,'G-7 WaterC'' Data'!$R$3,INDEX('G-7 WaterC'' Data'!$U$5:$Y$9,MATCH(G108,'G-7 WaterC'' Data'!$T$5:$T$9,0),MATCH(T108,'G-7 WaterC'' Data'!$U$4:$Y$4,0)))),"")</f>
        <v>1</v>
      </c>
      <c r="Z108" s="159">
        <v>0</v>
      </c>
      <c r="AA108" s="159">
        <v>0</v>
      </c>
      <c r="AB108" s="370" t="str">
        <f t="shared" si="11"/>
        <v>Standard time to target condition applied</v>
      </c>
      <c r="AC108" s="383">
        <f t="shared" si="12"/>
        <v>1</v>
      </c>
      <c r="AD108" s="422">
        <f>IFERROR(IF(AC108="Check Data ⚠","Check Data ⚠",VLOOKUP(AC108,'G-4 Temporal multipliers'!$A$4:$C$37,3,FALSE)),"")</f>
        <v>0.96499999999999997</v>
      </c>
      <c r="AE108" s="362" t="str">
        <f>IF(N108="","",VLOOKUP(N108,'G-7 WaterC'' Data'!$B$4:$G$8,5,FALSE))</f>
        <v>Medium</v>
      </c>
      <c r="AF108" s="370" t="str">
        <f t="shared" si="13"/>
        <v>Standard difficulty applied</v>
      </c>
      <c r="AG108" s="401" t="str">
        <f t="shared" si="14"/>
        <v>Medium</v>
      </c>
      <c r="AH108" s="363">
        <f t="shared" si="9"/>
        <v>0.67</v>
      </c>
      <c r="AI108" s="122" t="s">
        <v>1126</v>
      </c>
      <c r="AJ108" s="363">
        <f>IF(AI108="","",IF(VLOOKUP(AI108,'G-7 WaterC'' Data'!$AA$4:$AB$7,2,FALSE)=0,"Spatial Data Missing ⚠",VLOOKUP(AI108,'G-7 WaterC'' Data'!$AA$4:$AB$7,2,FALSE)))</f>
        <v>1</v>
      </c>
      <c r="AK108" s="123" t="s">
        <v>1142</v>
      </c>
      <c r="AL108" s="363">
        <f>IF(AK108="","",IF(VLOOKUP(AK108,'G-7 WaterC'' Data'!$AD$4:$AE$14,2,FALSE)=0,"Spatial Data Missing ⚠",VLOOKUP(AK108,'G-7 WaterC'' Data'!$AD$4:$AE$14,2,FALSE)))</f>
        <v>0.87</v>
      </c>
      <c r="AM108" s="405">
        <f t="shared" si="15"/>
        <v>0.22898669670261509</v>
      </c>
      <c r="AN108" s="117"/>
      <c r="AO108" s="118"/>
      <c r="AP108" s="120" t="s">
        <v>2104</v>
      </c>
      <c r="AV108" s="30" t="str">
        <f>IFERROR(INDEX('G-7 WaterC'' Data'!$AZ$3:$AZ$7,MATCH(N108,'G-7 WaterC'' Data'!$AY$3:$AY$7,0)),"")</f>
        <v>Rivercond1</v>
      </c>
    </row>
    <row r="109" spans="2:48" ht="28.5" x14ac:dyDescent="0.2">
      <c r="B109" s="392">
        <f>'C-1 On-Site WaterC'' Baseline'!AO107</f>
        <v>104</v>
      </c>
      <c r="C109" s="382" t="str">
        <f>IF(B109="","",VLOOKUP($B109,'C-1 On-Site WaterC'' Baseline'!$C$9:$R$257,2,FALSE))</f>
        <v>Ditches</v>
      </c>
      <c r="D109" s="382">
        <f>IF(C109="","",VLOOKUP($B109,'C-1 On-Site WaterC'' Baseline'!$C$9:$R$257,3,FALSE))</f>
        <v>0.86683719404770732</v>
      </c>
      <c r="E109" s="382" t="str">
        <f>IF(D109="","",VLOOKUP($B109,'C-1 On-Site WaterC'' Baseline'!$C$9:$R$257,4,FALSE))</f>
        <v>Medium</v>
      </c>
      <c r="F109" s="382">
        <f>IF(E109="","",VLOOKUP($B109,'C-1 On-Site WaterC'' Baseline'!$C$9:$R$257,5,FALSE))</f>
        <v>4</v>
      </c>
      <c r="G109" s="382" t="str">
        <f>IF(F109="","",VLOOKUP($B109,'C-1 On-Site WaterC'' Baseline'!$C$9:$R$257,6,FALSE))</f>
        <v>Poor</v>
      </c>
      <c r="H109" s="382">
        <f>IF(G109="","",VLOOKUP($B109,'C-1 On-Site WaterC'' Baseline'!$C$9:$R$257,7,FALSE))</f>
        <v>1</v>
      </c>
      <c r="I109" s="382" t="str">
        <f>IF(H109="","",VLOOKUP($B109,'C-1 On-Site WaterC'' Baseline'!$C$9:$R$257,8,FALSE))</f>
        <v>Formally identified in local strategy</v>
      </c>
      <c r="J109" s="382" t="str">
        <f>IF(I109="","",VLOOKUP($B109,'C-1 On-Site WaterC'' Baseline'!$C$9:$R$257,9,FALSE))</f>
        <v xml:space="preserve">High strategic significance </v>
      </c>
      <c r="K109" s="382">
        <f>IF(J109="","",VLOOKUP($B109,'C-1 On-Site WaterC'' Baseline'!$C$9:$R$257,10,FALSE))</f>
        <v>1.1499999999999999</v>
      </c>
      <c r="L109" s="382" t="str">
        <f>IF(B109="","",VLOOKUP($B109,'C-1 On-Site WaterC'' Baseline'!$C$9:$R$257,15,FALSE))</f>
        <v>Same habitat required =</v>
      </c>
      <c r="M109" s="386">
        <f>IF(L109="","",VLOOKUP($B109,'C-1 On-Site WaterC'' Baseline'!$C$9:$R$257,16,FALSE))</f>
        <v>2.9905883194645901</v>
      </c>
      <c r="N109" s="320" t="str">
        <f t="shared" si="8"/>
        <v>Ditches</v>
      </c>
      <c r="O109" s="362" t="str">
        <f t="shared" si="10"/>
        <v>Medium - Medium</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Poor - Poor</v>
      </c>
      <c r="Q109" s="425">
        <f>IF(N109="","",VLOOKUP(B109,'C-1 On-Site WaterC'' Baseline'!$C$10:$AB$257,19,FALSE))</f>
        <v>0.86683719404770732</v>
      </c>
      <c r="R109" s="362" t="str">
        <f>IF(N109="","",VLOOKUP(N109,'G-7 WaterC'' Data'!$B$2:$G$8,2,FALSE))</f>
        <v>Medium</v>
      </c>
      <c r="S109" s="363">
        <f>IFERROR(VLOOKUP(R109,'G-7 WaterC'' Data'!$C$4:$D$8,2,FALSE),"")</f>
        <v>4</v>
      </c>
      <c r="T109" s="114" t="s">
        <v>329</v>
      </c>
      <c r="U109" s="363">
        <f>IFERROR(INDEX('G-7 WaterC'' Data'!$H$4:$L$8,MATCH(N109,'G-7 WaterC'' Data'!$B$4:$B$8,0),MATCH(T109,'G-7 WaterC'' Data'!$H$3:$L$3,0)),"")</f>
        <v>1</v>
      </c>
      <c r="V109" s="114" t="s">
        <v>1029</v>
      </c>
      <c r="W109" s="370" t="str">
        <f>IF(V109="","",IF(VLOOKUP(V109,'G-7 WaterC'' Data'!$AK$4:$AM$6,2,FALSE)=0,"Spatial Data Missing ⚠",VLOOKUP(V109,'G-7 WaterC'' Data'!$AK$4:$AM$6,2,FALSE)))</f>
        <v xml:space="preserve">High strategic significance </v>
      </c>
      <c r="X109" s="363">
        <f>IF(V109="","",IF(VLOOKUP(V109,'G-7 WaterC'' Data'!$AK$4:$AM$6,3,FALSE)=0,"Spatial Data Missing ⚠",VLOOKUP(V109,'G-7 WaterC'' Data'!$AK$4:$AM$6,3,FALSE)))</f>
        <v>1.1499999999999999</v>
      </c>
      <c r="Y109" s="362">
        <f>IFERROR(IF(OR(LEFT(P109,5)="Error",LEFT(O109,5)="Error ▲"),"Check Data ⚠",IF(F109&lt;S109,'G-7 WaterC'' Data'!$R$3,INDEX('G-7 WaterC'' Data'!$U$5:$Y$9,MATCH(G109,'G-7 WaterC'' Data'!$T$5:$T$9,0),MATCH(T109,'G-7 WaterC'' Data'!$U$4:$Y$4,0)))),"")</f>
        <v>1</v>
      </c>
      <c r="Z109" s="159">
        <v>0</v>
      </c>
      <c r="AA109" s="159">
        <v>0</v>
      </c>
      <c r="AB109" s="370" t="str">
        <f t="shared" si="11"/>
        <v>Standard time to target condition applied</v>
      </c>
      <c r="AC109" s="383">
        <f t="shared" si="12"/>
        <v>1</v>
      </c>
      <c r="AD109" s="422">
        <f>IFERROR(IF(AC109="Check Data ⚠","Check Data ⚠",VLOOKUP(AC109,'G-4 Temporal multipliers'!$A$4:$C$37,3,FALSE)),"")</f>
        <v>0.96499999999999997</v>
      </c>
      <c r="AE109" s="362" t="str">
        <f>IF(N109="","",VLOOKUP(N109,'G-7 WaterC'' Data'!$B$4:$G$8,5,FALSE))</f>
        <v>Medium</v>
      </c>
      <c r="AF109" s="370" t="str">
        <f t="shared" si="13"/>
        <v>Standard difficulty applied</v>
      </c>
      <c r="AG109" s="401" t="str">
        <f t="shared" si="14"/>
        <v>Medium</v>
      </c>
      <c r="AH109" s="363">
        <f t="shared" si="9"/>
        <v>0.67</v>
      </c>
      <c r="AI109" s="122" t="s">
        <v>1126</v>
      </c>
      <c r="AJ109" s="363">
        <f>IF(AI109="","",IF(VLOOKUP(AI109,'G-7 WaterC'' Data'!$AA$4:$AB$7,2,FALSE)=0,"Spatial Data Missing ⚠",VLOOKUP(AI109,'G-7 WaterC'' Data'!$AA$4:$AB$7,2,FALSE)))</f>
        <v>1</v>
      </c>
      <c r="AK109" s="123" t="s">
        <v>1142</v>
      </c>
      <c r="AL109" s="363">
        <f>IF(AK109="","",IF(VLOOKUP(AK109,'G-7 WaterC'' Data'!$AD$4:$AE$14,2,FALSE)=0,"Spatial Data Missing ⚠",VLOOKUP(AK109,'G-7 WaterC'' Data'!$AD$4:$AE$14,2,FALSE)))</f>
        <v>0.87</v>
      </c>
      <c r="AM109" s="405">
        <f t="shared" si="15"/>
        <v>3.4690824505789246</v>
      </c>
      <c r="AN109" s="117"/>
      <c r="AO109" s="118"/>
      <c r="AP109" s="120" t="s">
        <v>2105</v>
      </c>
      <c r="AV109" s="30" t="str">
        <f>IFERROR(INDEX('G-7 WaterC'' Data'!$AZ$3:$AZ$7,MATCH(N109,'G-7 WaterC'' Data'!$AY$3:$AY$7,0)),"")</f>
        <v>Rivercond1</v>
      </c>
    </row>
    <row r="110" spans="2:48" ht="28.5" x14ac:dyDescent="0.2">
      <c r="B110" s="392">
        <f>'C-1 On-Site WaterC'' Baseline'!AO108</f>
        <v>105</v>
      </c>
      <c r="C110" s="382" t="str">
        <f>IF(B110="","",VLOOKUP($B110,'C-1 On-Site WaterC'' Baseline'!$C$9:$R$257,2,FALSE))</f>
        <v>Ditches</v>
      </c>
      <c r="D110" s="382">
        <f>IF(C110="","",VLOOKUP($B110,'C-1 On-Site WaterC'' Baseline'!$C$9:$R$257,3,FALSE))</f>
        <v>0.14970213270612737</v>
      </c>
      <c r="E110" s="382" t="str">
        <f>IF(D110="","",VLOOKUP($B110,'C-1 On-Site WaterC'' Baseline'!$C$9:$R$257,4,FALSE))</f>
        <v>Medium</v>
      </c>
      <c r="F110" s="382">
        <f>IF(E110="","",VLOOKUP($B110,'C-1 On-Site WaterC'' Baseline'!$C$9:$R$257,5,FALSE))</f>
        <v>4</v>
      </c>
      <c r="G110" s="382" t="str">
        <f>IF(F110="","",VLOOKUP($B110,'C-1 On-Site WaterC'' Baseline'!$C$9:$R$257,6,FALSE))</f>
        <v>Poor</v>
      </c>
      <c r="H110" s="382">
        <f>IF(G110="","",VLOOKUP($B110,'C-1 On-Site WaterC'' Baseline'!$C$9:$R$257,7,FALSE))</f>
        <v>1</v>
      </c>
      <c r="I110" s="382" t="str">
        <f>IF(H110="","",VLOOKUP($B110,'C-1 On-Site WaterC'' Baseline'!$C$9:$R$257,8,FALSE))</f>
        <v>Area/compensation not in local strategy/ no local strategy</v>
      </c>
      <c r="J110" s="382" t="str">
        <f>IF(I110="","",VLOOKUP($B110,'C-1 On-Site WaterC'' Baseline'!$C$9:$R$257,9,FALSE))</f>
        <v>Low Strategic Significance</v>
      </c>
      <c r="K110" s="382">
        <f>IF(J110="","",VLOOKUP($B110,'C-1 On-Site WaterC'' Baseline'!$C$9:$R$257,10,FALSE))</f>
        <v>1</v>
      </c>
      <c r="L110" s="382" t="str">
        <f>IF(B110="","",VLOOKUP($B110,'C-1 On-Site WaterC'' Baseline'!$C$9:$R$257,15,FALSE))</f>
        <v>Same habitat required =</v>
      </c>
      <c r="M110" s="386">
        <f>IF(L110="","",VLOOKUP($B110,'C-1 On-Site WaterC'' Baseline'!$C$9:$R$257,16,FALSE))</f>
        <v>0.4491063981183821</v>
      </c>
      <c r="N110" s="320" t="str">
        <f t="shared" si="8"/>
        <v>Ditches</v>
      </c>
      <c r="O110" s="362" t="str">
        <f t="shared" si="10"/>
        <v>Medium - Medium</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Poor - Poor</v>
      </c>
      <c r="Q110" s="425">
        <f>IF(N110="","",VLOOKUP(B110,'C-1 On-Site WaterC'' Baseline'!$C$10:$AB$257,19,FALSE))</f>
        <v>0.14970213270612737</v>
      </c>
      <c r="R110" s="362" t="str">
        <f>IF(N110="","",VLOOKUP(N110,'G-7 WaterC'' Data'!$B$2:$G$8,2,FALSE))</f>
        <v>Medium</v>
      </c>
      <c r="S110" s="363">
        <f>IFERROR(VLOOKUP(R110,'G-7 WaterC'' Data'!$C$4:$D$8,2,FALSE),"")</f>
        <v>4</v>
      </c>
      <c r="T110" s="114" t="s">
        <v>329</v>
      </c>
      <c r="U110" s="363">
        <f>IFERROR(INDEX('G-7 WaterC'' Data'!$H$4:$L$8,MATCH(N110,'G-7 WaterC'' Data'!$B$4:$B$8,0),MATCH(T110,'G-7 WaterC'' Data'!$H$3:$L$3,0)),"")</f>
        <v>1</v>
      </c>
      <c r="V110" s="114" t="s">
        <v>1037</v>
      </c>
      <c r="W110" s="370" t="str">
        <f>IF(V110="","",IF(VLOOKUP(V110,'G-7 WaterC'' Data'!$AK$4:$AM$6,2,FALSE)=0,"Spatial Data Missing ⚠",VLOOKUP(V110,'G-7 WaterC'' Data'!$AK$4:$AM$6,2,FALSE)))</f>
        <v>Low Strategic Significance</v>
      </c>
      <c r="X110" s="363">
        <f>IF(V110="","",IF(VLOOKUP(V110,'G-7 WaterC'' Data'!$AK$4:$AM$6,3,FALSE)=0,"Spatial Data Missing ⚠",VLOOKUP(V110,'G-7 WaterC'' Data'!$AK$4:$AM$6,3,FALSE)))</f>
        <v>1</v>
      </c>
      <c r="Y110" s="362">
        <f>IFERROR(IF(OR(LEFT(P110,5)="Error",LEFT(O110,5)="Error ▲"),"Check Data ⚠",IF(F110&lt;S110,'G-7 WaterC'' Data'!$R$3,INDEX('G-7 WaterC'' Data'!$U$5:$Y$9,MATCH(G110,'G-7 WaterC'' Data'!$T$5:$T$9,0),MATCH(T110,'G-7 WaterC'' Data'!$U$4:$Y$4,0)))),"")</f>
        <v>1</v>
      </c>
      <c r="Z110" s="159">
        <v>0</v>
      </c>
      <c r="AA110" s="159">
        <v>0</v>
      </c>
      <c r="AB110" s="370" t="str">
        <f t="shared" si="11"/>
        <v>Standard time to target condition applied</v>
      </c>
      <c r="AC110" s="383">
        <f t="shared" si="12"/>
        <v>1</v>
      </c>
      <c r="AD110" s="422">
        <f>IFERROR(IF(AC110="Check Data ⚠","Check Data ⚠",VLOOKUP(AC110,'G-4 Temporal multipliers'!$A$4:$C$37,3,FALSE)),"")</f>
        <v>0.96499999999999997</v>
      </c>
      <c r="AE110" s="362" t="str">
        <f>IF(N110="","",VLOOKUP(N110,'G-7 WaterC'' Data'!$B$4:$G$8,5,FALSE))</f>
        <v>Medium</v>
      </c>
      <c r="AF110" s="370" t="str">
        <f t="shared" si="13"/>
        <v>Standard difficulty applied</v>
      </c>
      <c r="AG110" s="401" t="str">
        <f t="shared" si="14"/>
        <v>Medium</v>
      </c>
      <c r="AH110" s="363">
        <f t="shared" si="9"/>
        <v>0.67</v>
      </c>
      <c r="AI110" s="122" t="s">
        <v>1126</v>
      </c>
      <c r="AJ110" s="363">
        <f>IF(AI110="","",IF(VLOOKUP(AI110,'G-7 WaterC'' Data'!$AA$4:$AB$7,2,FALSE)=0,"Spatial Data Missing ⚠",VLOOKUP(AI110,'G-7 WaterC'' Data'!$AA$4:$AB$7,2,FALSE)))</f>
        <v>1</v>
      </c>
      <c r="AK110" s="123" t="s">
        <v>1142</v>
      </c>
      <c r="AL110" s="363">
        <f>IF(AK110="","",IF(VLOOKUP(AK110,'G-7 WaterC'' Data'!$AD$4:$AE$14,2,FALSE)=0,"Spatial Data Missing ⚠",VLOOKUP(AK110,'G-7 WaterC'' Data'!$AD$4:$AE$14,2,FALSE)))</f>
        <v>0.87</v>
      </c>
      <c r="AM110" s="405">
        <f t="shared" si="15"/>
        <v>0.52096342181732325</v>
      </c>
      <c r="AN110" s="117"/>
      <c r="AO110" s="118"/>
      <c r="AP110" s="120" t="s">
        <v>2106</v>
      </c>
      <c r="AV110" s="30" t="str">
        <f>IFERROR(INDEX('G-7 WaterC'' Data'!$AZ$3:$AZ$7,MATCH(N110,'G-7 WaterC'' Data'!$AY$3:$AY$7,0)),"")</f>
        <v>Rivercond1</v>
      </c>
    </row>
    <row r="111" spans="2:48" ht="28.5" x14ac:dyDescent="0.2">
      <c r="B111" s="392">
        <f>'C-1 On-Site WaterC'' Baseline'!AO109</f>
        <v>106</v>
      </c>
      <c r="C111" s="382" t="str">
        <f>IF(B111="","",VLOOKUP($B111,'C-1 On-Site WaterC'' Baseline'!$C$9:$R$257,2,FALSE))</f>
        <v>Ditches</v>
      </c>
      <c r="D111" s="382">
        <f>IF(C111="","",VLOOKUP($B111,'C-1 On-Site WaterC'' Baseline'!$C$9:$R$257,3,FALSE))</f>
        <v>0.26270823023334833</v>
      </c>
      <c r="E111" s="382" t="str">
        <f>IF(D111="","",VLOOKUP($B111,'C-1 On-Site WaterC'' Baseline'!$C$9:$R$257,4,FALSE))</f>
        <v>Medium</v>
      </c>
      <c r="F111" s="382">
        <f>IF(E111="","",VLOOKUP($B111,'C-1 On-Site WaterC'' Baseline'!$C$9:$R$257,5,FALSE))</f>
        <v>4</v>
      </c>
      <c r="G111" s="382" t="str">
        <f>IF(F111="","",VLOOKUP($B111,'C-1 On-Site WaterC'' Baseline'!$C$9:$R$257,6,FALSE))</f>
        <v>Poor</v>
      </c>
      <c r="H111" s="382">
        <f>IF(G111="","",VLOOKUP($B111,'C-1 On-Site WaterC'' Baseline'!$C$9:$R$257,7,FALSE))</f>
        <v>1</v>
      </c>
      <c r="I111" s="382" t="str">
        <f>IF(H111="","",VLOOKUP($B111,'C-1 On-Site WaterC'' Baseline'!$C$9:$R$257,8,FALSE))</f>
        <v>Formally identified in local strategy</v>
      </c>
      <c r="J111" s="382" t="str">
        <f>IF(I111="","",VLOOKUP($B111,'C-1 On-Site WaterC'' Baseline'!$C$9:$R$257,9,FALSE))</f>
        <v xml:space="preserve">High strategic significance </v>
      </c>
      <c r="K111" s="382">
        <f>IF(J111="","",VLOOKUP($B111,'C-1 On-Site WaterC'' Baseline'!$C$9:$R$257,10,FALSE))</f>
        <v>1.1499999999999999</v>
      </c>
      <c r="L111" s="382" t="str">
        <f>IF(B111="","",VLOOKUP($B111,'C-1 On-Site WaterC'' Baseline'!$C$9:$R$257,15,FALSE))</f>
        <v>Same habitat required =</v>
      </c>
      <c r="M111" s="386">
        <f>IF(L111="","",VLOOKUP($B111,'C-1 On-Site WaterC'' Baseline'!$C$9:$R$257,16,FALSE))</f>
        <v>0.90634339430505173</v>
      </c>
      <c r="N111" s="320" t="str">
        <f t="shared" si="8"/>
        <v>Ditches</v>
      </c>
      <c r="O111" s="362" t="str">
        <f t="shared" si="10"/>
        <v>Medium - Medium</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Poor - Poor</v>
      </c>
      <c r="Q111" s="425">
        <f>IF(N111="","",VLOOKUP(B111,'C-1 On-Site WaterC'' Baseline'!$C$10:$AB$257,19,FALSE))</f>
        <v>0.26270823023334833</v>
      </c>
      <c r="R111" s="362" t="str">
        <f>IF(N111="","",VLOOKUP(N111,'G-7 WaterC'' Data'!$B$2:$G$8,2,FALSE))</f>
        <v>Medium</v>
      </c>
      <c r="S111" s="363">
        <f>IFERROR(VLOOKUP(R111,'G-7 WaterC'' Data'!$C$4:$D$8,2,FALSE),"")</f>
        <v>4</v>
      </c>
      <c r="T111" s="114" t="s">
        <v>329</v>
      </c>
      <c r="U111" s="363">
        <f>IFERROR(INDEX('G-7 WaterC'' Data'!$H$4:$L$8,MATCH(N111,'G-7 WaterC'' Data'!$B$4:$B$8,0),MATCH(T111,'G-7 WaterC'' Data'!$H$3:$L$3,0)),"")</f>
        <v>1</v>
      </c>
      <c r="V111" s="114" t="s">
        <v>1029</v>
      </c>
      <c r="W111" s="370" t="str">
        <f>IF(V111="","",IF(VLOOKUP(V111,'G-7 WaterC'' Data'!$AK$4:$AM$6,2,FALSE)=0,"Spatial Data Missing ⚠",VLOOKUP(V111,'G-7 WaterC'' Data'!$AK$4:$AM$6,2,FALSE)))</f>
        <v xml:space="preserve">High strategic significance </v>
      </c>
      <c r="X111" s="363">
        <f>IF(V111="","",IF(VLOOKUP(V111,'G-7 WaterC'' Data'!$AK$4:$AM$6,3,FALSE)=0,"Spatial Data Missing ⚠",VLOOKUP(V111,'G-7 WaterC'' Data'!$AK$4:$AM$6,3,FALSE)))</f>
        <v>1.1499999999999999</v>
      </c>
      <c r="Y111" s="362">
        <f>IFERROR(IF(OR(LEFT(P111,5)="Error",LEFT(O111,5)="Error ▲"),"Check Data ⚠",IF(F111&lt;S111,'G-7 WaterC'' Data'!$R$3,INDEX('G-7 WaterC'' Data'!$U$5:$Y$9,MATCH(G111,'G-7 WaterC'' Data'!$T$5:$T$9,0),MATCH(T111,'G-7 WaterC'' Data'!$U$4:$Y$4,0)))),"")</f>
        <v>1</v>
      </c>
      <c r="Z111" s="159">
        <v>0</v>
      </c>
      <c r="AA111" s="159">
        <v>0</v>
      </c>
      <c r="AB111" s="370" t="str">
        <f t="shared" si="11"/>
        <v>Standard time to target condition applied</v>
      </c>
      <c r="AC111" s="383">
        <f t="shared" si="12"/>
        <v>1</v>
      </c>
      <c r="AD111" s="422">
        <f>IFERROR(IF(AC111="Check Data ⚠","Check Data ⚠",VLOOKUP(AC111,'G-4 Temporal multipliers'!$A$4:$C$37,3,FALSE)),"")</f>
        <v>0.96499999999999997</v>
      </c>
      <c r="AE111" s="362" t="str">
        <f>IF(N111="","",VLOOKUP(N111,'G-7 WaterC'' Data'!$B$4:$G$8,5,FALSE))</f>
        <v>Medium</v>
      </c>
      <c r="AF111" s="370" t="str">
        <f t="shared" si="13"/>
        <v>Standard difficulty applied</v>
      </c>
      <c r="AG111" s="401" t="str">
        <f t="shared" si="14"/>
        <v>Medium</v>
      </c>
      <c r="AH111" s="363">
        <f t="shared" si="9"/>
        <v>0.67</v>
      </c>
      <c r="AI111" s="122" t="s">
        <v>1126</v>
      </c>
      <c r="AJ111" s="363">
        <f>IF(AI111="","",IF(VLOOKUP(AI111,'G-7 WaterC'' Data'!$AA$4:$AB$7,2,FALSE)=0,"Spatial Data Missing ⚠",VLOOKUP(AI111,'G-7 WaterC'' Data'!$AA$4:$AB$7,2,FALSE)))</f>
        <v>1</v>
      </c>
      <c r="AK111" s="123" t="s">
        <v>1142</v>
      </c>
      <c r="AL111" s="363">
        <f>IF(AK111="","",IF(VLOOKUP(AK111,'G-7 WaterC'' Data'!$AD$4:$AE$14,2,FALSE)=0,"Spatial Data Missing ⚠",VLOOKUP(AK111,'G-7 WaterC'' Data'!$AD$4:$AE$14,2,FALSE)))</f>
        <v>0.87</v>
      </c>
      <c r="AM111" s="405">
        <f t="shared" si="15"/>
        <v>1.05135833739386</v>
      </c>
      <c r="AN111" s="117"/>
      <c r="AO111" s="118"/>
      <c r="AP111" s="120" t="s">
        <v>2107</v>
      </c>
      <c r="AV111" s="30" t="str">
        <f>IFERROR(INDEX('G-7 WaterC'' Data'!$AZ$3:$AZ$7,MATCH(N111,'G-7 WaterC'' Data'!$AY$3:$AY$7,0)),"")</f>
        <v>Rivercond1</v>
      </c>
    </row>
    <row r="112" spans="2:48" ht="28.5" x14ac:dyDescent="0.2">
      <c r="B112" s="392">
        <f>'C-1 On-Site WaterC'' Baseline'!AO110</f>
        <v>107</v>
      </c>
      <c r="C112" s="382" t="str">
        <f>IF(B112="","",VLOOKUP($B112,'C-1 On-Site WaterC'' Baseline'!$C$9:$R$257,2,FALSE))</f>
        <v>Other rivers and streams</v>
      </c>
      <c r="D112" s="382">
        <f>IF(C112="","",VLOOKUP($B112,'C-1 On-Site WaterC'' Baseline'!$C$9:$R$257,3,FALSE))</f>
        <v>1.008525102440017</v>
      </c>
      <c r="E112" s="382" t="str">
        <f>IF(D112="","",VLOOKUP($B112,'C-1 On-Site WaterC'' Baseline'!$C$9:$R$257,4,FALSE))</f>
        <v>High</v>
      </c>
      <c r="F112" s="382">
        <f>IF(E112="","",VLOOKUP($B112,'C-1 On-Site WaterC'' Baseline'!$C$9:$R$257,5,FALSE))</f>
        <v>6</v>
      </c>
      <c r="G112" s="382" t="str">
        <f>IF(F112="","",VLOOKUP($B112,'C-1 On-Site WaterC'' Baseline'!$C$9:$R$257,6,FALSE))</f>
        <v>Moderate</v>
      </c>
      <c r="H112" s="382">
        <f>IF(G112="","",VLOOKUP($B112,'C-1 On-Site WaterC'' Baseline'!$C$9:$R$257,7,FALSE))</f>
        <v>2</v>
      </c>
      <c r="I112" s="382" t="str">
        <f>IF(H112="","",VLOOKUP($B112,'C-1 On-Site WaterC'' Baseline'!$C$9:$R$257,8,FALSE))</f>
        <v>Formally identified in local strategy</v>
      </c>
      <c r="J112" s="382" t="str">
        <f>IF(I112="","",VLOOKUP($B112,'C-1 On-Site WaterC'' Baseline'!$C$9:$R$257,9,FALSE))</f>
        <v xml:space="preserve">High strategic significance </v>
      </c>
      <c r="K112" s="382">
        <f>IF(J112="","",VLOOKUP($B112,'C-1 On-Site WaterC'' Baseline'!$C$9:$R$257,10,FALSE))</f>
        <v>1.1499999999999999</v>
      </c>
      <c r="L112" s="382" t="str">
        <f>IF(B112="","",VLOOKUP($B112,'C-1 On-Site WaterC'' Baseline'!$C$9:$R$257,15,FALSE))</f>
        <v>Same habitat required =</v>
      </c>
      <c r="M112" s="386">
        <f>IF(L112="","",VLOOKUP($B112,'C-1 On-Site WaterC'' Baseline'!$C$9:$R$257,16,FALSE))</f>
        <v>10.438234810254176</v>
      </c>
      <c r="N112" s="320" t="str">
        <f t="shared" si="8"/>
        <v>Other rivers and streams</v>
      </c>
      <c r="O112" s="362" t="str">
        <f t="shared" si="10"/>
        <v>High - High</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Moderate - Moderate</v>
      </c>
      <c r="Q112" s="425">
        <f>IF(N112="","",VLOOKUP(B112,'C-1 On-Site WaterC'' Baseline'!$C$10:$AB$257,19,FALSE))</f>
        <v>1.008525102440017</v>
      </c>
      <c r="R112" s="362" t="str">
        <f>IF(N112="","",VLOOKUP(N112,'G-7 WaterC'' Data'!$B$2:$G$8,2,FALSE))</f>
        <v>High</v>
      </c>
      <c r="S112" s="363">
        <f>IFERROR(VLOOKUP(R112,'G-7 WaterC'' Data'!$C$4:$D$8,2,FALSE),"")</f>
        <v>6</v>
      </c>
      <c r="T112" s="114" t="s">
        <v>67</v>
      </c>
      <c r="U112" s="363">
        <f>IFERROR(INDEX('G-7 WaterC'' Data'!$H$4:$L$8,MATCH(N112,'G-7 WaterC'' Data'!$B$4:$B$8,0),MATCH(T112,'G-7 WaterC'' Data'!$H$3:$L$3,0)),"")</f>
        <v>2</v>
      </c>
      <c r="V112" s="114" t="s">
        <v>1029</v>
      </c>
      <c r="W112" s="370" t="str">
        <f>IF(V112="","",IF(VLOOKUP(V112,'G-7 WaterC'' Data'!$AK$4:$AM$6,2,FALSE)=0,"Spatial Data Missing ⚠",VLOOKUP(V112,'G-7 WaterC'' Data'!$AK$4:$AM$6,2,FALSE)))</f>
        <v xml:space="preserve">High strategic significance </v>
      </c>
      <c r="X112" s="363">
        <f>IF(V112="","",IF(VLOOKUP(V112,'G-7 WaterC'' Data'!$AK$4:$AM$6,3,FALSE)=0,"Spatial Data Missing ⚠",VLOOKUP(V112,'G-7 WaterC'' Data'!$AK$4:$AM$6,3,FALSE)))</f>
        <v>1.1499999999999999</v>
      </c>
      <c r="Y112" s="362">
        <f>IFERROR(IF(OR(LEFT(P112,5)="Error",LEFT(O112,5)="Error ▲"),"Check Data ⚠",IF(F112&lt;S112,'G-7 WaterC'' Data'!$R$3,INDEX('G-7 WaterC'' Data'!$U$5:$Y$9,MATCH(G112,'G-7 WaterC'' Data'!$T$5:$T$9,0),MATCH(T112,'G-7 WaterC'' Data'!$U$4:$Y$4,0)))),"")</f>
        <v>1</v>
      </c>
      <c r="Z112" s="159">
        <v>0</v>
      </c>
      <c r="AA112" s="159">
        <v>0</v>
      </c>
      <c r="AB112" s="370" t="str">
        <f t="shared" si="11"/>
        <v>Standard time to target condition applied</v>
      </c>
      <c r="AC112" s="383">
        <f t="shared" si="12"/>
        <v>1</v>
      </c>
      <c r="AD112" s="422">
        <f>IFERROR(IF(AC112="Check Data ⚠","Check Data ⚠",VLOOKUP(AC112,'G-4 Temporal multipliers'!$A$4:$C$37,3,FALSE)),"")</f>
        <v>0.96499999999999997</v>
      </c>
      <c r="AE112" s="362" t="str">
        <f>IF(N112="","",VLOOKUP(N112,'G-7 WaterC'' Data'!$B$4:$G$8,5,FALSE))</f>
        <v>Medium</v>
      </c>
      <c r="AF112" s="370" t="str">
        <f t="shared" si="13"/>
        <v>Standard difficulty applied</v>
      </c>
      <c r="AG112" s="401" t="str">
        <f t="shared" si="14"/>
        <v>Medium</v>
      </c>
      <c r="AH112" s="363">
        <f t="shared" si="9"/>
        <v>0.67</v>
      </c>
      <c r="AI112" s="122" t="s">
        <v>1126</v>
      </c>
      <c r="AJ112" s="363">
        <f>IF(AI112="","",IF(VLOOKUP(AI112,'G-7 WaterC'' Data'!$AA$4:$AB$7,2,FALSE)=0,"Spatial Data Missing ⚠",VLOOKUP(AI112,'G-7 WaterC'' Data'!$AA$4:$AB$7,2,FALSE)))</f>
        <v>1</v>
      </c>
      <c r="AK112" s="123" t="s">
        <v>1153</v>
      </c>
      <c r="AL112" s="363">
        <f>IF(AK112="","",IF(VLOOKUP(AK112,'G-7 WaterC'' Data'!$AD$4:$AE$14,2,FALSE)=0,"Spatial Data Missing ⚠",VLOOKUP(AK112,'G-7 WaterC'' Data'!$AD$4:$AE$14,2,FALSE)))</f>
        <v>1</v>
      </c>
      <c r="AM112" s="405">
        <f t="shared" si="15"/>
        <v>13.917646413672234</v>
      </c>
      <c r="AN112" s="117"/>
      <c r="AO112" s="118"/>
      <c r="AP112" s="120" t="s">
        <v>2108</v>
      </c>
      <c r="AV112" s="30" t="str">
        <f>IFERROR(INDEX('G-7 WaterC'' Data'!$AZ$3:$AZ$7,MATCH(N112,'G-7 WaterC'' Data'!$AY$3:$AY$7,0)),"")</f>
        <v>Rivercond1</v>
      </c>
    </row>
    <row r="113" spans="2:48" ht="28.5" x14ac:dyDescent="0.2">
      <c r="B113" s="392">
        <f>'C-1 On-Site WaterC'' Baseline'!AO111</f>
        <v>108</v>
      </c>
      <c r="C113" s="382" t="str">
        <f>IF(B113="","",VLOOKUP($B113,'C-1 On-Site WaterC'' Baseline'!$C$9:$R$257,2,FALSE))</f>
        <v>Other rivers and streams</v>
      </c>
      <c r="D113" s="382">
        <f>IF(C113="","",VLOOKUP($B113,'C-1 On-Site WaterC'' Baseline'!$C$9:$R$257,3,FALSE))</f>
        <v>0.93405438198920121</v>
      </c>
      <c r="E113" s="382" t="str">
        <f>IF(D113="","",VLOOKUP($B113,'C-1 On-Site WaterC'' Baseline'!$C$9:$R$257,4,FALSE))</f>
        <v>High</v>
      </c>
      <c r="F113" s="382">
        <f>IF(E113="","",VLOOKUP($B113,'C-1 On-Site WaterC'' Baseline'!$C$9:$R$257,5,FALSE))</f>
        <v>6</v>
      </c>
      <c r="G113" s="382" t="str">
        <f>IF(F113="","",VLOOKUP($B113,'C-1 On-Site WaterC'' Baseline'!$C$9:$R$257,6,FALSE))</f>
        <v>Moderate</v>
      </c>
      <c r="H113" s="382">
        <f>IF(G113="","",VLOOKUP($B113,'C-1 On-Site WaterC'' Baseline'!$C$9:$R$257,7,FALSE))</f>
        <v>2</v>
      </c>
      <c r="I113" s="382" t="str">
        <f>IF(H113="","",VLOOKUP($B113,'C-1 On-Site WaterC'' Baseline'!$C$9:$R$257,8,FALSE))</f>
        <v>Formally identified in local strategy</v>
      </c>
      <c r="J113" s="382" t="str">
        <f>IF(I113="","",VLOOKUP($B113,'C-1 On-Site WaterC'' Baseline'!$C$9:$R$257,9,FALSE))</f>
        <v xml:space="preserve">High strategic significance </v>
      </c>
      <c r="K113" s="382">
        <f>IF(J113="","",VLOOKUP($B113,'C-1 On-Site WaterC'' Baseline'!$C$9:$R$257,10,FALSE))</f>
        <v>1.1499999999999999</v>
      </c>
      <c r="L113" s="382" t="str">
        <f>IF(B113="","",VLOOKUP($B113,'C-1 On-Site WaterC'' Baseline'!$C$9:$R$257,15,FALSE))</f>
        <v>Same habitat required =</v>
      </c>
      <c r="M113" s="386">
        <f>IF(L113="","",VLOOKUP($B113,'C-1 On-Site WaterC'' Baseline'!$C$9:$R$257,16,FALSE))</f>
        <v>9.6674628535882317</v>
      </c>
      <c r="N113" s="320" t="str">
        <f t="shared" si="8"/>
        <v>Other rivers and streams</v>
      </c>
      <c r="O113" s="362" t="str">
        <f t="shared" si="10"/>
        <v>High - High</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Moderate - Moderate</v>
      </c>
      <c r="Q113" s="425">
        <f>IF(N113="","",VLOOKUP(B113,'C-1 On-Site WaterC'' Baseline'!$C$10:$AB$257,19,FALSE))</f>
        <v>0.93405438198920121</v>
      </c>
      <c r="R113" s="362" t="str">
        <f>IF(N113="","",VLOOKUP(N113,'G-7 WaterC'' Data'!$B$2:$G$8,2,FALSE))</f>
        <v>High</v>
      </c>
      <c r="S113" s="363">
        <f>IFERROR(VLOOKUP(R113,'G-7 WaterC'' Data'!$C$4:$D$8,2,FALSE),"")</f>
        <v>6</v>
      </c>
      <c r="T113" s="114" t="s">
        <v>67</v>
      </c>
      <c r="U113" s="363">
        <f>IFERROR(INDEX('G-7 WaterC'' Data'!$H$4:$L$8,MATCH(N113,'G-7 WaterC'' Data'!$B$4:$B$8,0),MATCH(T113,'G-7 WaterC'' Data'!$H$3:$L$3,0)),"")</f>
        <v>2</v>
      </c>
      <c r="V113" s="114" t="s">
        <v>1029</v>
      </c>
      <c r="W113" s="370" t="str">
        <f>IF(V113="","",IF(VLOOKUP(V113,'G-7 WaterC'' Data'!$AK$4:$AM$6,2,FALSE)=0,"Spatial Data Missing ⚠",VLOOKUP(V113,'G-7 WaterC'' Data'!$AK$4:$AM$6,2,FALSE)))</f>
        <v xml:space="preserve">High strategic significance </v>
      </c>
      <c r="X113" s="363">
        <f>IF(V113="","",IF(VLOOKUP(V113,'G-7 WaterC'' Data'!$AK$4:$AM$6,3,FALSE)=0,"Spatial Data Missing ⚠",VLOOKUP(V113,'G-7 WaterC'' Data'!$AK$4:$AM$6,3,FALSE)))</f>
        <v>1.1499999999999999</v>
      </c>
      <c r="Y113" s="362">
        <f>IFERROR(IF(OR(LEFT(P113,5)="Error",LEFT(O113,5)="Error ▲"),"Check Data ⚠",IF(F113&lt;S113,'G-7 WaterC'' Data'!$R$3,INDEX('G-7 WaterC'' Data'!$U$5:$Y$9,MATCH(G113,'G-7 WaterC'' Data'!$T$5:$T$9,0),MATCH(T113,'G-7 WaterC'' Data'!$U$4:$Y$4,0)))),"")</f>
        <v>1</v>
      </c>
      <c r="Z113" s="159">
        <v>0</v>
      </c>
      <c r="AA113" s="159">
        <v>0</v>
      </c>
      <c r="AB113" s="370" t="str">
        <f t="shared" si="11"/>
        <v>Standard time to target condition applied</v>
      </c>
      <c r="AC113" s="383">
        <f t="shared" si="12"/>
        <v>1</v>
      </c>
      <c r="AD113" s="422">
        <f>IFERROR(IF(AC113="Check Data ⚠","Check Data ⚠",VLOOKUP(AC113,'G-4 Temporal multipliers'!$A$4:$C$37,3,FALSE)),"")</f>
        <v>0.96499999999999997</v>
      </c>
      <c r="AE113" s="362" t="str">
        <f>IF(N113="","",VLOOKUP(N113,'G-7 WaterC'' Data'!$B$4:$G$8,5,FALSE))</f>
        <v>Medium</v>
      </c>
      <c r="AF113" s="370" t="str">
        <f t="shared" si="13"/>
        <v>Standard difficulty applied</v>
      </c>
      <c r="AG113" s="401" t="str">
        <f t="shared" si="14"/>
        <v>Medium</v>
      </c>
      <c r="AH113" s="363">
        <f t="shared" si="9"/>
        <v>0.67</v>
      </c>
      <c r="AI113" s="122" t="s">
        <v>1126</v>
      </c>
      <c r="AJ113" s="363">
        <f>IF(AI113="","",IF(VLOOKUP(AI113,'G-7 WaterC'' Data'!$AA$4:$AB$7,2,FALSE)=0,"Spatial Data Missing ⚠",VLOOKUP(AI113,'G-7 WaterC'' Data'!$AA$4:$AB$7,2,FALSE)))</f>
        <v>1</v>
      </c>
      <c r="AK113" s="123" t="s">
        <v>1142</v>
      </c>
      <c r="AL113" s="363">
        <f>IF(AK113="","",IF(VLOOKUP(AK113,'G-7 WaterC'' Data'!$AD$4:$AE$14,2,FALSE)=0,"Spatial Data Missing ⚠",VLOOKUP(AK113,'G-7 WaterC'' Data'!$AD$4:$AE$14,2,FALSE)))</f>
        <v>0.87</v>
      </c>
      <c r="AM113" s="405">
        <f t="shared" si="15"/>
        <v>11.214256910162348</v>
      </c>
      <c r="AN113" s="117"/>
      <c r="AO113" s="118"/>
      <c r="AP113" s="120" t="s">
        <v>2109</v>
      </c>
      <c r="AV113" s="30" t="str">
        <f>IFERROR(INDEX('G-7 WaterC'' Data'!$AZ$3:$AZ$7,MATCH(N113,'G-7 WaterC'' Data'!$AY$3:$AY$7,0)),"")</f>
        <v>Rivercond1</v>
      </c>
    </row>
    <row r="114" spans="2:48" ht="28.5" x14ac:dyDescent="0.2">
      <c r="B114" s="392">
        <f>'C-1 On-Site WaterC'' Baseline'!AO112</f>
        <v>109</v>
      </c>
      <c r="C114" s="382" t="str">
        <f>IF(B114="","",VLOOKUP($B114,'C-1 On-Site WaterC'' Baseline'!$C$9:$R$257,2,FALSE))</f>
        <v>Other rivers and streams</v>
      </c>
      <c r="D114" s="382">
        <f>IF(C114="","",VLOOKUP($B114,'C-1 On-Site WaterC'' Baseline'!$C$9:$R$257,3,FALSE))</f>
        <v>1.5016868565159642</v>
      </c>
      <c r="E114" s="382" t="str">
        <f>IF(D114="","",VLOOKUP($B114,'C-1 On-Site WaterC'' Baseline'!$C$9:$R$257,4,FALSE))</f>
        <v>High</v>
      </c>
      <c r="F114" s="382">
        <f>IF(E114="","",VLOOKUP($B114,'C-1 On-Site WaterC'' Baseline'!$C$9:$R$257,5,FALSE))</f>
        <v>6</v>
      </c>
      <c r="G114" s="382" t="str">
        <f>IF(F114="","",VLOOKUP($B114,'C-1 On-Site WaterC'' Baseline'!$C$9:$R$257,6,FALSE))</f>
        <v>Moderate</v>
      </c>
      <c r="H114" s="382">
        <f>IF(G114="","",VLOOKUP($B114,'C-1 On-Site WaterC'' Baseline'!$C$9:$R$257,7,FALSE))</f>
        <v>2</v>
      </c>
      <c r="I114" s="382" t="str">
        <f>IF(H114="","",VLOOKUP($B114,'C-1 On-Site WaterC'' Baseline'!$C$9:$R$257,8,FALSE))</f>
        <v>Formally identified in local strategy</v>
      </c>
      <c r="J114" s="382" t="str">
        <f>IF(I114="","",VLOOKUP($B114,'C-1 On-Site WaterC'' Baseline'!$C$9:$R$257,9,FALSE))</f>
        <v xml:space="preserve">High strategic significance </v>
      </c>
      <c r="K114" s="382">
        <f>IF(J114="","",VLOOKUP($B114,'C-1 On-Site WaterC'' Baseline'!$C$9:$R$257,10,FALSE))</f>
        <v>1.1499999999999999</v>
      </c>
      <c r="L114" s="382" t="str">
        <f>IF(B114="","",VLOOKUP($B114,'C-1 On-Site WaterC'' Baseline'!$C$9:$R$257,15,FALSE))</f>
        <v>Same habitat required =</v>
      </c>
      <c r="M114" s="386">
        <f>IF(L114="","",VLOOKUP($B114,'C-1 On-Site WaterC'' Baseline'!$C$9:$R$257,16,FALSE))</f>
        <v>15.542458964940227</v>
      </c>
      <c r="N114" s="320" t="str">
        <f t="shared" si="8"/>
        <v>Other rivers and streams</v>
      </c>
      <c r="O114" s="362" t="str">
        <f t="shared" si="10"/>
        <v>High - High</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Moderate - Moderate</v>
      </c>
      <c r="Q114" s="425">
        <f>IF(N114="","",VLOOKUP(B114,'C-1 On-Site WaterC'' Baseline'!$C$10:$AB$257,19,FALSE))</f>
        <v>1.5016868565159642</v>
      </c>
      <c r="R114" s="362" t="str">
        <f>IF(N114="","",VLOOKUP(N114,'G-7 WaterC'' Data'!$B$2:$G$8,2,FALSE))</f>
        <v>High</v>
      </c>
      <c r="S114" s="363">
        <f>IFERROR(VLOOKUP(R114,'G-7 WaterC'' Data'!$C$4:$D$8,2,FALSE),"")</f>
        <v>6</v>
      </c>
      <c r="T114" s="114" t="s">
        <v>67</v>
      </c>
      <c r="U114" s="363">
        <f>IFERROR(INDEX('G-7 WaterC'' Data'!$H$4:$L$8,MATCH(N114,'G-7 WaterC'' Data'!$B$4:$B$8,0),MATCH(T114,'G-7 WaterC'' Data'!$H$3:$L$3,0)),"")</f>
        <v>2</v>
      </c>
      <c r="V114" s="114" t="s">
        <v>1029</v>
      </c>
      <c r="W114" s="370" t="str">
        <f>IF(V114="","",IF(VLOOKUP(V114,'G-7 WaterC'' Data'!$AK$4:$AM$6,2,FALSE)=0,"Spatial Data Missing ⚠",VLOOKUP(V114,'G-7 WaterC'' Data'!$AK$4:$AM$6,2,FALSE)))</f>
        <v xml:space="preserve">High strategic significance </v>
      </c>
      <c r="X114" s="363">
        <f>IF(V114="","",IF(VLOOKUP(V114,'G-7 WaterC'' Data'!$AK$4:$AM$6,3,FALSE)=0,"Spatial Data Missing ⚠",VLOOKUP(V114,'G-7 WaterC'' Data'!$AK$4:$AM$6,3,FALSE)))</f>
        <v>1.1499999999999999</v>
      </c>
      <c r="Y114" s="362">
        <f>IFERROR(IF(OR(LEFT(P114,5)="Error",LEFT(O114,5)="Error ▲"),"Check Data ⚠",IF(F114&lt;S114,'G-7 WaterC'' Data'!$R$3,INDEX('G-7 WaterC'' Data'!$U$5:$Y$9,MATCH(G114,'G-7 WaterC'' Data'!$T$5:$T$9,0),MATCH(T114,'G-7 WaterC'' Data'!$U$4:$Y$4,0)))),"")</f>
        <v>1</v>
      </c>
      <c r="Z114" s="159">
        <v>0</v>
      </c>
      <c r="AA114" s="159">
        <v>0</v>
      </c>
      <c r="AB114" s="370" t="str">
        <f t="shared" si="11"/>
        <v>Standard time to target condition applied</v>
      </c>
      <c r="AC114" s="383">
        <f t="shared" si="12"/>
        <v>1</v>
      </c>
      <c r="AD114" s="422">
        <f>IFERROR(IF(AC114="Check Data ⚠","Check Data ⚠",VLOOKUP(AC114,'G-4 Temporal multipliers'!$A$4:$C$37,3,FALSE)),"")</f>
        <v>0.96499999999999997</v>
      </c>
      <c r="AE114" s="362" t="str">
        <f>IF(N114="","",VLOOKUP(N114,'G-7 WaterC'' Data'!$B$4:$G$8,5,FALSE))</f>
        <v>Medium</v>
      </c>
      <c r="AF114" s="370" t="str">
        <f t="shared" si="13"/>
        <v>Standard difficulty applied</v>
      </c>
      <c r="AG114" s="401" t="str">
        <f t="shared" si="14"/>
        <v>Medium</v>
      </c>
      <c r="AH114" s="363">
        <f t="shared" si="9"/>
        <v>0.67</v>
      </c>
      <c r="AI114" s="122" t="s">
        <v>1126</v>
      </c>
      <c r="AJ114" s="363">
        <f>IF(AI114="","",IF(VLOOKUP(AI114,'G-7 WaterC'' Data'!$AA$4:$AB$7,2,FALSE)=0,"Spatial Data Missing ⚠",VLOOKUP(AI114,'G-7 WaterC'' Data'!$AA$4:$AB$7,2,FALSE)))</f>
        <v>1</v>
      </c>
      <c r="AK114" s="123" t="s">
        <v>1153</v>
      </c>
      <c r="AL114" s="363">
        <f>IF(AK114="","",IF(VLOOKUP(AK114,'G-7 WaterC'' Data'!$AD$4:$AE$14,2,FALSE)=0,"Spatial Data Missing ⚠",VLOOKUP(AK114,'G-7 WaterC'' Data'!$AD$4:$AE$14,2,FALSE)))</f>
        <v>1</v>
      </c>
      <c r="AM114" s="405">
        <f t="shared" si="15"/>
        <v>20.723278619920304</v>
      </c>
      <c r="AN114" s="117"/>
      <c r="AO114" s="118"/>
      <c r="AP114" s="120" t="s">
        <v>2110</v>
      </c>
      <c r="AV114" s="30" t="str">
        <f>IFERROR(INDEX('G-7 WaterC'' Data'!$AZ$3:$AZ$7,MATCH(N114,'G-7 WaterC'' Data'!$AY$3:$AY$7,0)),"")</f>
        <v>Rivercond1</v>
      </c>
    </row>
    <row r="115" spans="2:48" ht="28.5" x14ac:dyDescent="0.2">
      <c r="B115" s="392">
        <f>'C-1 On-Site WaterC'' Baseline'!AO113</f>
        <v>110</v>
      </c>
      <c r="C115" s="382" t="str">
        <f>IF(B115="","",VLOOKUP($B115,'C-1 On-Site WaterC'' Baseline'!$C$9:$R$257,2,FALSE))</f>
        <v>Other rivers and streams</v>
      </c>
      <c r="D115" s="382">
        <f>IF(C115="","",VLOOKUP($B115,'C-1 On-Site WaterC'' Baseline'!$C$9:$R$257,3,FALSE))</f>
        <v>0.87237077395914864</v>
      </c>
      <c r="E115" s="382" t="str">
        <f>IF(D115="","",VLOOKUP($B115,'C-1 On-Site WaterC'' Baseline'!$C$9:$R$257,4,FALSE))</f>
        <v>High</v>
      </c>
      <c r="F115" s="382">
        <f>IF(E115="","",VLOOKUP($B115,'C-1 On-Site WaterC'' Baseline'!$C$9:$R$257,5,FALSE))</f>
        <v>6</v>
      </c>
      <c r="G115" s="382" t="str">
        <f>IF(F115="","",VLOOKUP($B115,'C-1 On-Site WaterC'' Baseline'!$C$9:$R$257,6,FALSE))</f>
        <v>Moderate</v>
      </c>
      <c r="H115" s="382">
        <f>IF(G115="","",VLOOKUP($B115,'C-1 On-Site WaterC'' Baseline'!$C$9:$R$257,7,FALSE))</f>
        <v>2</v>
      </c>
      <c r="I115" s="382" t="str">
        <f>IF(H115="","",VLOOKUP($B115,'C-1 On-Site WaterC'' Baseline'!$C$9:$R$257,8,FALSE))</f>
        <v>Formally identified in local strategy</v>
      </c>
      <c r="J115" s="382" t="str">
        <f>IF(I115="","",VLOOKUP($B115,'C-1 On-Site WaterC'' Baseline'!$C$9:$R$257,9,FALSE))</f>
        <v xml:space="preserve">High strategic significance </v>
      </c>
      <c r="K115" s="382">
        <f>IF(J115="","",VLOOKUP($B115,'C-1 On-Site WaterC'' Baseline'!$C$9:$R$257,10,FALSE))</f>
        <v>1.1499999999999999</v>
      </c>
      <c r="L115" s="382" t="str">
        <f>IF(B115="","",VLOOKUP($B115,'C-1 On-Site WaterC'' Baseline'!$C$9:$R$257,15,FALSE))</f>
        <v>Same habitat required =</v>
      </c>
      <c r="M115" s="386">
        <f>IF(L115="","",VLOOKUP($B115,'C-1 On-Site WaterC'' Baseline'!$C$9:$R$257,16,FALSE))</f>
        <v>9.0290375104771883</v>
      </c>
      <c r="N115" s="320" t="str">
        <f t="shared" si="8"/>
        <v>Other rivers and streams</v>
      </c>
      <c r="O115" s="362" t="str">
        <f t="shared" si="10"/>
        <v>High - High</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Moderate - Moderate</v>
      </c>
      <c r="Q115" s="425">
        <f>IF(N115="","",VLOOKUP(B115,'C-1 On-Site WaterC'' Baseline'!$C$10:$AB$257,19,FALSE))</f>
        <v>0.87237077395914864</v>
      </c>
      <c r="R115" s="362" t="str">
        <f>IF(N115="","",VLOOKUP(N115,'G-7 WaterC'' Data'!$B$2:$G$8,2,FALSE))</f>
        <v>High</v>
      </c>
      <c r="S115" s="363">
        <f>IFERROR(VLOOKUP(R115,'G-7 WaterC'' Data'!$C$4:$D$8,2,FALSE),"")</f>
        <v>6</v>
      </c>
      <c r="T115" s="114" t="s">
        <v>67</v>
      </c>
      <c r="U115" s="363">
        <f>IFERROR(INDEX('G-7 WaterC'' Data'!$H$4:$L$8,MATCH(N115,'G-7 WaterC'' Data'!$B$4:$B$8,0),MATCH(T115,'G-7 WaterC'' Data'!$H$3:$L$3,0)),"")</f>
        <v>2</v>
      </c>
      <c r="V115" s="114" t="s">
        <v>1029</v>
      </c>
      <c r="W115" s="370" t="str">
        <f>IF(V115="","",IF(VLOOKUP(V115,'G-7 WaterC'' Data'!$AK$4:$AM$6,2,FALSE)=0,"Spatial Data Missing ⚠",VLOOKUP(V115,'G-7 WaterC'' Data'!$AK$4:$AM$6,2,FALSE)))</f>
        <v xml:space="preserve">High strategic significance </v>
      </c>
      <c r="X115" s="363">
        <f>IF(V115="","",IF(VLOOKUP(V115,'G-7 WaterC'' Data'!$AK$4:$AM$6,3,FALSE)=0,"Spatial Data Missing ⚠",VLOOKUP(V115,'G-7 WaterC'' Data'!$AK$4:$AM$6,3,FALSE)))</f>
        <v>1.1499999999999999</v>
      </c>
      <c r="Y115" s="362">
        <f>IFERROR(IF(OR(LEFT(P115,5)="Error",LEFT(O115,5)="Error ▲"),"Check Data ⚠",IF(F115&lt;S115,'G-7 WaterC'' Data'!$R$3,INDEX('G-7 WaterC'' Data'!$U$5:$Y$9,MATCH(G115,'G-7 WaterC'' Data'!$T$5:$T$9,0),MATCH(T115,'G-7 WaterC'' Data'!$U$4:$Y$4,0)))),"")</f>
        <v>1</v>
      </c>
      <c r="Z115" s="159">
        <v>0</v>
      </c>
      <c r="AA115" s="159">
        <v>0</v>
      </c>
      <c r="AB115" s="370" t="str">
        <f t="shared" si="11"/>
        <v>Standard time to target condition applied</v>
      </c>
      <c r="AC115" s="383">
        <f t="shared" si="12"/>
        <v>1</v>
      </c>
      <c r="AD115" s="422">
        <f>IFERROR(IF(AC115="Check Data ⚠","Check Data ⚠",VLOOKUP(AC115,'G-4 Temporal multipliers'!$A$4:$C$37,3,FALSE)),"")</f>
        <v>0.96499999999999997</v>
      </c>
      <c r="AE115" s="362" t="str">
        <f>IF(N115="","",VLOOKUP(N115,'G-7 WaterC'' Data'!$B$4:$G$8,5,FALSE))</f>
        <v>Medium</v>
      </c>
      <c r="AF115" s="370" t="str">
        <f t="shared" si="13"/>
        <v>Standard difficulty applied</v>
      </c>
      <c r="AG115" s="401" t="str">
        <f t="shared" si="14"/>
        <v>Medium</v>
      </c>
      <c r="AH115" s="363">
        <f t="shared" si="9"/>
        <v>0.67</v>
      </c>
      <c r="AI115" s="122" t="s">
        <v>1126</v>
      </c>
      <c r="AJ115" s="363">
        <f>IF(AI115="","",IF(VLOOKUP(AI115,'G-7 WaterC'' Data'!$AA$4:$AB$7,2,FALSE)=0,"Spatial Data Missing ⚠",VLOOKUP(AI115,'G-7 WaterC'' Data'!$AA$4:$AB$7,2,FALSE)))</f>
        <v>1</v>
      </c>
      <c r="AK115" s="123" t="s">
        <v>1153</v>
      </c>
      <c r="AL115" s="363">
        <f>IF(AK115="","",IF(VLOOKUP(AK115,'G-7 WaterC'' Data'!$AD$4:$AE$14,2,FALSE)=0,"Spatial Data Missing ⚠",VLOOKUP(AK115,'G-7 WaterC'' Data'!$AD$4:$AE$14,2,FALSE)))</f>
        <v>1</v>
      </c>
      <c r="AM115" s="405">
        <f t="shared" si="15"/>
        <v>12.03871668063625</v>
      </c>
      <c r="AN115" s="117"/>
      <c r="AO115" s="118"/>
      <c r="AP115" s="120" t="s">
        <v>2111</v>
      </c>
      <c r="AV115" s="30" t="str">
        <f>IFERROR(INDEX('G-7 WaterC'' Data'!$AZ$3:$AZ$7,MATCH(N115,'G-7 WaterC'' Data'!$AY$3:$AY$7,0)),"")</f>
        <v>Rivercond1</v>
      </c>
    </row>
    <row r="116" spans="2:48" ht="28.5" x14ac:dyDescent="0.2">
      <c r="B116" s="392">
        <f>'C-1 On-Site WaterC'' Baseline'!AO114</f>
        <v>111</v>
      </c>
      <c r="C116" s="382" t="str">
        <f>IF(B116="","",VLOOKUP($B116,'C-1 On-Site WaterC'' Baseline'!$C$9:$R$257,2,FALSE))</f>
        <v>Other rivers and streams</v>
      </c>
      <c r="D116" s="382">
        <f>IF(C116="","",VLOOKUP($B116,'C-1 On-Site WaterC'' Baseline'!$C$9:$R$257,3,FALSE))</f>
        <v>0.47216391915759276</v>
      </c>
      <c r="E116" s="382" t="str">
        <f>IF(D116="","",VLOOKUP($B116,'C-1 On-Site WaterC'' Baseline'!$C$9:$R$257,4,FALSE))</f>
        <v>High</v>
      </c>
      <c r="F116" s="382">
        <f>IF(E116="","",VLOOKUP($B116,'C-1 On-Site WaterC'' Baseline'!$C$9:$R$257,5,FALSE))</f>
        <v>6</v>
      </c>
      <c r="G116" s="382" t="str">
        <f>IF(F116="","",VLOOKUP($B116,'C-1 On-Site WaterC'' Baseline'!$C$9:$R$257,6,FALSE))</f>
        <v>Moderate</v>
      </c>
      <c r="H116" s="382">
        <f>IF(G116="","",VLOOKUP($B116,'C-1 On-Site WaterC'' Baseline'!$C$9:$R$257,7,FALSE))</f>
        <v>2</v>
      </c>
      <c r="I116" s="382" t="str">
        <f>IF(H116="","",VLOOKUP($B116,'C-1 On-Site WaterC'' Baseline'!$C$9:$R$257,8,FALSE))</f>
        <v>Formally identified in local strategy</v>
      </c>
      <c r="J116" s="382" t="str">
        <f>IF(I116="","",VLOOKUP($B116,'C-1 On-Site WaterC'' Baseline'!$C$9:$R$257,9,FALSE))</f>
        <v xml:space="preserve">High strategic significance </v>
      </c>
      <c r="K116" s="382">
        <f>IF(J116="","",VLOOKUP($B116,'C-1 On-Site WaterC'' Baseline'!$C$9:$R$257,10,FALSE))</f>
        <v>1.1499999999999999</v>
      </c>
      <c r="L116" s="382" t="str">
        <f>IF(B116="","",VLOOKUP($B116,'C-1 On-Site WaterC'' Baseline'!$C$9:$R$257,15,FALSE))</f>
        <v>Same habitat required =</v>
      </c>
      <c r="M116" s="386">
        <f>IF(L116="","",VLOOKUP($B116,'C-1 On-Site WaterC'' Baseline'!$C$9:$R$257,16,FALSE))</f>
        <v>4.8868965632810841</v>
      </c>
      <c r="N116" s="320" t="str">
        <f t="shared" si="8"/>
        <v>Other rivers and streams</v>
      </c>
      <c r="O116" s="362" t="str">
        <f t="shared" si="10"/>
        <v>High - High</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Moderate - Moderate</v>
      </c>
      <c r="Q116" s="425">
        <f>IF(N116="","",VLOOKUP(B116,'C-1 On-Site WaterC'' Baseline'!$C$10:$AB$257,19,FALSE))</f>
        <v>0.47216391915759276</v>
      </c>
      <c r="R116" s="362" t="str">
        <f>IF(N116="","",VLOOKUP(N116,'G-7 WaterC'' Data'!$B$2:$G$8,2,FALSE))</f>
        <v>High</v>
      </c>
      <c r="S116" s="363">
        <f>IFERROR(VLOOKUP(R116,'G-7 WaterC'' Data'!$C$4:$D$8,2,FALSE),"")</f>
        <v>6</v>
      </c>
      <c r="T116" s="114" t="s">
        <v>67</v>
      </c>
      <c r="U116" s="363">
        <f>IFERROR(INDEX('G-7 WaterC'' Data'!$H$4:$L$8,MATCH(N116,'G-7 WaterC'' Data'!$B$4:$B$8,0),MATCH(T116,'G-7 WaterC'' Data'!$H$3:$L$3,0)),"")</f>
        <v>2</v>
      </c>
      <c r="V116" s="114" t="s">
        <v>1029</v>
      </c>
      <c r="W116" s="370" t="str">
        <f>IF(V116="","",IF(VLOOKUP(V116,'G-7 WaterC'' Data'!$AK$4:$AM$6,2,FALSE)=0,"Spatial Data Missing ⚠",VLOOKUP(V116,'G-7 WaterC'' Data'!$AK$4:$AM$6,2,FALSE)))</f>
        <v xml:space="preserve">High strategic significance </v>
      </c>
      <c r="X116" s="363">
        <f>IF(V116="","",IF(VLOOKUP(V116,'G-7 WaterC'' Data'!$AK$4:$AM$6,3,FALSE)=0,"Spatial Data Missing ⚠",VLOOKUP(V116,'G-7 WaterC'' Data'!$AK$4:$AM$6,3,FALSE)))</f>
        <v>1.1499999999999999</v>
      </c>
      <c r="Y116" s="362">
        <f>IFERROR(IF(OR(LEFT(P116,5)="Error",LEFT(O116,5)="Error ▲"),"Check Data ⚠",IF(F116&lt;S116,'G-7 WaterC'' Data'!$R$3,INDEX('G-7 WaterC'' Data'!$U$5:$Y$9,MATCH(G116,'G-7 WaterC'' Data'!$T$5:$T$9,0),MATCH(T116,'G-7 WaterC'' Data'!$U$4:$Y$4,0)))),"")</f>
        <v>1</v>
      </c>
      <c r="Z116" s="159">
        <v>0</v>
      </c>
      <c r="AA116" s="159">
        <v>0</v>
      </c>
      <c r="AB116" s="370" t="str">
        <f t="shared" si="11"/>
        <v>Standard time to target condition applied</v>
      </c>
      <c r="AC116" s="383">
        <f t="shared" si="12"/>
        <v>1</v>
      </c>
      <c r="AD116" s="422">
        <f>IFERROR(IF(AC116="Check Data ⚠","Check Data ⚠",VLOOKUP(AC116,'G-4 Temporal multipliers'!$A$4:$C$37,3,FALSE)),"")</f>
        <v>0.96499999999999997</v>
      </c>
      <c r="AE116" s="362" t="str">
        <f>IF(N116="","",VLOOKUP(N116,'G-7 WaterC'' Data'!$B$4:$G$8,5,FALSE))</f>
        <v>Medium</v>
      </c>
      <c r="AF116" s="370" t="str">
        <f t="shared" si="13"/>
        <v>Standard difficulty applied</v>
      </c>
      <c r="AG116" s="401" t="str">
        <f t="shared" si="14"/>
        <v>Medium</v>
      </c>
      <c r="AH116" s="363">
        <f t="shared" si="9"/>
        <v>0.67</v>
      </c>
      <c r="AI116" s="122" t="s">
        <v>1126</v>
      </c>
      <c r="AJ116" s="363">
        <f>IF(AI116="","",IF(VLOOKUP(AI116,'G-7 WaterC'' Data'!$AA$4:$AB$7,2,FALSE)=0,"Spatial Data Missing ⚠",VLOOKUP(AI116,'G-7 WaterC'' Data'!$AA$4:$AB$7,2,FALSE)))</f>
        <v>1</v>
      </c>
      <c r="AK116" s="123" t="s">
        <v>1153</v>
      </c>
      <c r="AL116" s="363">
        <f>IF(AK116="","",IF(VLOOKUP(AK116,'G-7 WaterC'' Data'!$AD$4:$AE$14,2,FALSE)=0,"Spatial Data Missing ⚠",VLOOKUP(AK116,'G-7 WaterC'' Data'!$AD$4:$AE$14,2,FALSE)))</f>
        <v>1</v>
      </c>
      <c r="AM116" s="405">
        <f t="shared" si="15"/>
        <v>6.5158620843747794</v>
      </c>
      <c r="AN116" s="117"/>
      <c r="AO116" s="118"/>
      <c r="AP116" s="120" t="s">
        <v>2112</v>
      </c>
      <c r="AV116" s="30" t="str">
        <f>IFERROR(INDEX('G-7 WaterC'' Data'!$AZ$3:$AZ$7,MATCH(N116,'G-7 WaterC'' Data'!$AY$3:$AY$7,0)),"")</f>
        <v>Rivercond1</v>
      </c>
    </row>
    <row r="117" spans="2:48" ht="28.5" x14ac:dyDescent="0.2">
      <c r="B117" s="392">
        <f>'C-1 On-Site WaterC'' Baseline'!AO115</f>
        <v>112</v>
      </c>
      <c r="C117" s="382" t="str">
        <f>IF(B117="","",VLOOKUP($B117,'C-1 On-Site WaterC'' Baseline'!$C$9:$R$257,2,FALSE))</f>
        <v>Other rivers and streams</v>
      </c>
      <c r="D117" s="382">
        <f>IF(C117="","",VLOOKUP($B117,'C-1 On-Site WaterC'' Baseline'!$C$9:$R$257,3,FALSE))</f>
        <v>0.19141720175285984</v>
      </c>
      <c r="E117" s="382" t="str">
        <f>IF(D117="","",VLOOKUP($B117,'C-1 On-Site WaterC'' Baseline'!$C$9:$R$257,4,FALSE))</f>
        <v>High</v>
      </c>
      <c r="F117" s="382">
        <f>IF(E117="","",VLOOKUP($B117,'C-1 On-Site WaterC'' Baseline'!$C$9:$R$257,5,FALSE))</f>
        <v>6</v>
      </c>
      <c r="G117" s="382" t="str">
        <f>IF(F117="","",VLOOKUP($B117,'C-1 On-Site WaterC'' Baseline'!$C$9:$R$257,6,FALSE))</f>
        <v>Moderate</v>
      </c>
      <c r="H117" s="382">
        <f>IF(G117="","",VLOOKUP($B117,'C-1 On-Site WaterC'' Baseline'!$C$9:$R$257,7,FALSE))</f>
        <v>2</v>
      </c>
      <c r="I117" s="382" t="str">
        <f>IF(H117="","",VLOOKUP($B117,'C-1 On-Site WaterC'' Baseline'!$C$9:$R$257,8,FALSE))</f>
        <v>Formally identified in local strategy</v>
      </c>
      <c r="J117" s="382" t="str">
        <f>IF(I117="","",VLOOKUP($B117,'C-1 On-Site WaterC'' Baseline'!$C$9:$R$257,9,FALSE))</f>
        <v xml:space="preserve">High strategic significance </v>
      </c>
      <c r="K117" s="382">
        <f>IF(J117="","",VLOOKUP($B117,'C-1 On-Site WaterC'' Baseline'!$C$9:$R$257,10,FALSE))</f>
        <v>1.1499999999999999</v>
      </c>
      <c r="L117" s="382" t="str">
        <f>IF(B117="","",VLOOKUP($B117,'C-1 On-Site WaterC'' Baseline'!$C$9:$R$257,15,FALSE))</f>
        <v>Same habitat required =</v>
      </c>
      <c r="M117" s="386">
        <f>IF(L117="","",VLOOKUP($B117,'C-1 On-Site WaterC'' Baseline'!$C$9:$R$257,16,FALSE))</f>
        <v>1.9811680381420993</v>
      </c>
      <c r="N117" s="320" t="str">
        <f t="shared" si="8"/>
        <v>Other rivers and streams</v>
      </c>
      <c r="O117" s="362" t="str">
        <f t="shared" si="10"/>
        <v>High - High</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Moderate - Moderate</v>
      </c>
      <c r="Q117" s="425">
        <f>IF(N117="","",VLOOKUP(B117,'C-1 On-Site WaterC'' Baseline'!$C$10:$AB$257,19,FALSE))</f>
        <v>0.19141720175285984</v>
      </c>
      <c r="R117" s="362" t="str">
        <f>IF(N117="","",VLOOKUP(N117,'G-7 WaterC'' Data'!$B$2:$G$8,2,FALSE))</f>
        <v>High</v>
      </c>
      <c r="S117" s="363">
        <f>IFERROR(VLOOKUP(R117,'G-7 WaterC'' Data'!$C$4:$D$8,2,FALSE),"")</f>
        <v>6</v>
      </c>
      <c r="T117" s="114" t="s">
        <v>67</v>
      </c>
      <c r="U117" s="363">
        <f>IFERROR(INDEX('G-7 WaterC'' Data'!$H$4:$L$8,MATCH(N117,'G-7 WaterC'' Data'!$B$4:$B$8,0),MATCH(T117,'G-7 WaterC'' Data'!$H$3:$L$3,0)),"")</f>
        <v>2</v>
      </c>
      <c r="V117" s="114" t="s">
        <v>1029</v>
      </c>
      <c r="W117" s="370" t="str">
        <f>IF(V117="","",IF(VLOOKUP(V117,'G-7 WaterC'' Data'!$AK$4:$AM$6,2,FALSE)=0,"Spatial Data Missing ⚠",VLOOKUP(V117,'G-7 WaterC'' Data'!$AK$4:$AM$6,2,FALSE)))</f>
        <v xml:space="preserve">High strategic significance </v>
      </c>
      <c r="X117" s="363">
        <f>IF(V117="","",IF(VLOOKUP(V117,'G-7 WaterC'' Data'!$AK$4:$AM$6,3,FALSE)=0,"Spatial Data Missing ⚠",VLOOKUP(V117,'G-7 WaterC'' Data'!$AK$4:$AM$6,3,FALSE)))</f>
        <v>1.1499999999999999</v>
      </c>
      <c r="Y117" s="362">
        <f>IFERROR(IF(OR(LEFT(P117,5)="Error",LEFT(O117,5)="Error ▲"),"Check Data ⚠",IF(F117&lt;S117,'G-7 WaterC'' Data'!$R$3,INDEX('G-7 WaterC'' Data'!$U$5:$Y$9,MATCH(G117,'G-7 WaterC'' Data'!$T$5:$T$9,0),MATCH(T117,'G-7 WaterC'' Data'!$U$4:$Y$4,0)))),"")</f>
        <v>1</v>
      </c>
      <c r="Z117" s="159">
        <v>0</v>
      </c>
      <c r="AA117" s="159">
        <v>0</v>
      </c>
      <c r="AB117" s="370" t="str">
        <f t="shared" si="11"/>
        <v>Standard time to target condition applied</v>
      </c>
      <c r="AC117" s="383">
        <f t="shared" si="12"/>
        <v>1</v>
      </c>
      <c r="AD117" s="422">
        <f>IFERROR(IF(AC117="Check Data ⚠","Check Data ⚠",VLOOKUP(AC117,'G-4 Temporal multipliers'!$A$4:$C$37,3,FALSE)),"")</f>
        <v>0.96499999999999997</v>
      </c>
      <c r="AE117" s="362" t="str">
        <f>IF(N117="","",VLOOKUP(N117,'G-7 WaterC'' Data'!$B$4:$G$8,5,FALSE))</f>
        <v>Medium</v>
      </c>
      <c r="AF117" s="370" t="str">
        <f t="shared" si="13"/>
        <v>Standard difficulty applied</v>
      </c>
      <c r="AG117" s="401" t="str">
        <f t="shared" si="14"/>
        <v>Medium</v>
      </c>
      <c r="AH117" s="363">
        <f t="shared" si="9"/>
        <v>0.67</v>
      </c>
      <c r="AI117" s="122" t="s">
        <v>1126</v>
      </c>
      <c r="AJ117" s="363">
        <f>IF(AI117="","",IF(VLOOKUP(AI117,'G-7 WaterC'' Data'!$AA$4:$AB$7,2,FALSE)=0,"Spatial Data Missing ⚠",VLOOKUP(AI117,'G-7 WaterC'' Data'!$AA$4:$AB$7,2,FALSE)))</f>
        <v>1</v>
      </c>
      <c r="AK117" s="123" t="s">
        <v>1153</v>
      </c>
      <c r="AL117" s="363">
        <f>IF(AK117="","",IF(VLOOKUP(AK117,'G-7 WaterC'' Data'!$AD$4:$AE$14,2,FALSE)=0,"Spatial Data Missing ⚠",VLOOKUP(AK117,'G-7 WaterC'' Data'!$AD$4:$AE$14,2,FALSE)))</f>
        <v>1</v>
      </c>
      <c r="AM117" s="405">
        <f t="shared" si="15"/>
        <v>2.6415573841894657</v>
      </c>
      <c r="AN117" s="117"/>
      <c r="AO117" s="118"/>
      <c r="AP117" s="120" t="s">
        <v>2113</v>
      </c>
      <c r="AV117" s="30" t="str">
        <f>IFERROR(INDEX('G-7 WaterC'' Data'!$AZ$3:$AZ$7,MATCH(N117,'G-7 WaterC'' Data'!$AY$3:$AY$7,0)),"")</f>
        <v>Rivercond1</v>
      </c>
    </row>
    <row r="118" spans="2:48" ht="28.5" x14ac:dyDescent="0.2">
      <c r="B118" s="392">
        <f>'C-1 On-Site WaterC'' Baseline'!AO116</f>
        <v>113</v>
      </c>
      <c r="C118" s="382" t="str">
        <f>IF(B118="","",VLOOKUP($B118,'C-1 On-Site WaterC'' Baseline'!$C$9:$R$257,2,FALSE))</f>
        <v>Other rivers and streams</v>
      </c>
      <c r="D118" s="382">
        <f>IF(C118="","",VLOOKUP($B118,'C-1 On-Site WaterC'' Baseline'!$C$9:$R$257,3,FALSE))</f>
        <v>0.26349330120452152</v>
      </c>
      <c r="E118" s="382" t="str">
        <f>IF(D118="","",VLOOKUP($B118,'C-1 On-Site WaterC'' Baseline'!$C$9:$R$257,4,FALSE))</f>
        <v>High</v>
      </c>
      <c r="F118" s="382">
        <f>IF(E118="","",VLOOKUP($B118,'C-1 On-Site WaterC'' Baseline'!$C$9:$R$257,5,FALSE))</f>
        <v>6</v>
      </c>
      <c r="G118" s="382" t="str">
        <f>IF(F118="","",VLOOKUP($B118,'C-1 On-Site WaterC'' Baseline'!$C$9:$R$257,6,FALSE))</f>
        <v>Moderate</v>
      </c>
      <c r="H118" s="382">
        <f>IF(G118="","",VLOOKUP($B118,'C-1 On-Site WaterC'' Baseline'!$C$9:$R$257,7,FALSE))</f>
        <v>2</v>
      </c>
      <c r="I118" s="382" t="str">
        <f>IF(H118="","",VLOOKUP($B118,'C-1 On-Site WaterC'' Baseline'!$C$9:$R$257,8,FALSE))</f>
        <v>Formally identified in local strategy</v>
      </c>
      <c r="J118" s="382" t="str">
        <f>IF(I118="","",VLOOKUP($B118,'C-1 On-Site WaterC'' Baseline'!$C$9:$R$257,9,FALSE))</f>
        <v xml:space="preserve">High strategic significance </v>
      </c>
      <c r="K118" s="382">
        <f>IF(J118="","",VLOOKUP($B118,'C-1 On-Site WaterC'' Baseline'!$C$9:$R$257,10,FALSE))</f>
        <v>1.1499999999999999</v>
      </c>
      <c r="L118" s="382" t="str">
        <f>IF(B118="","",VLOOKUP($B118,'C-1 On-Site WaterC'' Baseline'!$C$9:$R$257,15,FALSE))</f>
        <v>Same habitat required =</v>
      </c>
      <c r="M118" s="386">
        <f>IF(L118="","",VLOOKUP($B118,'C-1 On-Site WaterC'' Baseline'!$C$9:$R$257,16,FALSE))</f>
        <v>2.7271556674667976</v>
      </c>
      <c r="N118" s="320" t="str">
        <f t="shared" si="8"/>
        <v>Other rivers and streams</v>
      </c>
      <c r="O118" s="362" t="str">
        <f t="shared" si="10"/>
        <v>High - High</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Moderate - Moderate</v>
      </c>
      <c r="Q118" s="425">
        <f>IF(N118="","",VLOOKUP(B118,'C-1 On-Site WaterC'' Baseline'!$C$10:$AB$257,19,FALSE))</f>
        <v>0.26349330120452152</v>
      </c>
      <c r="R118" s="362" t="str">
        <f>IF(N118="","",VLOOKUP(N118,'G-7 WaterC'' Data'!$B$2:$G$8,2,FALSE))</f>
        <v>High</v>
      </c>
      <c r="S118" s="363">
        <f>IFERROR(VLOOKUP(R118,'G-7 WaterC'' Data'!$C$4:$D$8,2,FALSE),"")</f>
        <v>6</v>
      </c>
      <c r="T118" s="114" t="s">
        <v>67</v>
      </c>
      <c r="U118" s="363">
        <f>IFERROR(INDEX('G-7 WaterC'' Data'!$H$4:$L$8,MATCH(N118,'G-7 WaterC'' Data'!$B$4:$B$8,0),MATCH(T118,'G-7 WaterC'' Data'!$H$3:$L$3,0)),"")</f>
        <v>2</v>
      </c>
      <c r="V118" s="114" t="s">
        <v>1029</v>
      </c>
      <c r="W118" s="370" t="str">
        <f>IF(V118="","",IF(VLOOKUP(V118,'G-7 WaterC'' Data'!$AK$4:$AM$6,2,FALSE)=0,"Spatial Data Missing ⚠",VLOOKUP(V118,'G-7 WaterC'' Data'!$AK$4:$AM$6,2,FALSE)))</f>
        <v xml:space="preserve">High strategic significance </v>
      </c>
      <c r="X118" s="363">
        <f>IF(V118="","",IF(VLOOKUP(V118,'G-7 WaterC'' Data'!$AK$4:$AM$6,3,FALSE)=0,"Spatial Data Missing ⚠",VLOOKUP(V118,'G-7 WaterC'' Data'!$AK$4:$AM$6,3,FALSE)))</f>
        <v>1.1499999999999999</v>
      </c>
      <c r="Y118" s="362">
        <f>IFERROR(IF(OR(LEFT(P118,5)="Error",LEFT(O118,5)="Error ▲"),"Check Data ⚠",IF(F118&lt;S118,'G-7 WaterC'' Data'!$R$3,INDEX('G-7 WaterC'' Data'!$U$5:$Y$9,MATCH(G118,'G-7 WaterC'' Data'!$T$5:$T$9,0),MATCH(T118,'G-7 WaterC'' Data'!$U$4:$Y$4,0)))),"")</f>
        <v>1</v>
      </c>
      <c r="Z118" s="159">
        <v>0</v>
      </c>
      <c r="AA118" s="159">
        <v>0</v>
      </c>
      <c r="AB118" s="370" t="str">
        <f t="shared" si="11"/>
        <v>Standard time to target condition applied</v>
      </c>
      <c r="AC118" s="383">
        <f t="shared" si="12"/>
        <v>1</v>
      </c>
      <c r="AD118" s="422">
        <f>IFERROR(IF(AC118="Check Data ⚠","Check Data ⚠",VLOOKUP(AC118,'G-4 Temporal multipliers'!$A$4:$C$37,3,FALSE)),"")</f>
        <v>0.96499999999999997</v>
      </c>
      <c r="AE118" s="362" t="str">
        <f>IF(N118="","",VLOOKUP(N118,'G-7 WaterC'' Data'!$B$4:$G$8,5,FALSE))</f>
        <v>Medium</v>
      </c>
      <c r="AF118" s="370" t="str">
        <f t="shared" si="13"/>
        <v>Standard difficulty applied</v>
      </c>
      <c r="AG118" s="401" t="str">
        <f t="shared" si="14"/>
        <v>Medium</v>
      </c>
      <c r="AH118" s="363">
        <f t="shared" si="9"/>
        <v>0.67</v>
      </c>
      <c r="AI118" s="122" t="s">
        <v>1126</v>
      </c>
      <c r="AJ118" s="363">
        <f>IF(AI118="","",IF(VLOOKUP(AI118,'G-7 WaterC'' Data'!$AA$4:$AB$7,2,FALSE)=0,"Spatial Data Missing ⚠",VLOOKUP(AI118,'G-7 WaterC'' Data'!$AA$4:$AB$7,2,FALSE)))</f>
        <v>1</v>
      </c>
      <c r="AK118" s="123" t="s">
        <v>1153</v>
      </c>
      <c r="AL118" s="363">
        <f>IF(AK118="","",IF(VLOOKUP(AK118,'G-7 WaterC'' Data'!$AD$4:$AE$14,2,FALSE)=0,"Spatial Data Missing ⚠",VLOOKUP(AK118,'G-7 WaterC'' Data'!$AD$4:$AE$14,2,FALSE)))</f>
        <v>1</v>
      </c>
      <c r="AM118" s="405">
        <f t="shared" si="15"/>
        <v>3.6362075566223968</v>
      </c>
      <c r="AN118" s="117"/>
      <c r="AO118" s="118"/>
      <c r="AP118" s="120" t="s">
        <v>2114</v>
      </c>
      <c r="AV118" s="30" t="str">
        <f>IFERROR(INDEX('G-7 WaterC'' Data'!$AZ$3:$AZ$7,MATCH(N118,'G-7 WaterC'' Data'!$AY$3:$AY$7,0)),"")</f>
        <v>Rivercond1</v>
      </c>
    </row>
    <row r="119" spans="2:48" ht="28.5" x14ac:dyDescent="0.2">
      <c r="B119" s="392">
        <f>'C-1 On-Site WaterC'' Baseline'!AO117</f>
        <v>114</v>
      </c>
      <c r="C119" s="382" t="str">
        <f>IF(B119="","",VLOOKUP($B119,'C-1 On-Site WaterC'' Baseline'!$C$9:$R$257,2,FALSE))</f>
        <v>Other rivers and streams</v>
      </c>
      <c r="D119" s="382">
        <f>IF(C119="","",VLOOKUP($B119,'C-1 On-Site WaterC'' Baseline'!$C$9:$R$257,3,FALSE))</f>
        <v>9.7985430655015249E-2</v>
      </c>
      <c r="E119" s="382" t="str">
        <f>IF(D119="","",VLOOKUP($B119,'C-1 On-Site WaterC'' Baseline'!$C$9:$R$257,4,FALSE))</f>
        <v>High</v>
      </c>
      <c r="F119" s="382">
        <f>IF(E119="","",VLOOKUP($B119,'C-1 On-Site WaterC'' Baseline'!$C$9:$R$257,5,FALSE))</f>
        <v>6</v>
      </c>
      <c r="G119" s="382" t="str">
        <f>IF(F119="","",VLOOKUP($B119,'C-1 On-Site WaterC'' Baseline'!$C$9:$R$257,6,FALSE))</f>
        <v>Moderate</v>
      </c>
      <c r="H119" s="382">
        <f>IF(G119="","",VLOOKUP($B119,'C-1 On-Site WaterC'' Baseline'!$C$9:$R$257,7,FALSE))</f>
        <v>2</v>
      </c>
      <c r="I119" s="382" t="str">
        <f>IF(H119="","",VLOOKUP($B119,'C-1 On-Site WaterC'' Baseline'!$C$9:$R$257,8,FALSE))</f>
        <v>Formally identified in local strategy</v>
      </c>
      <c r="J119" s="382" t="str">
        <f>IF(I119="","",VLOOKUP($B119,'C-1 On-Site WaterC'' Baseline'!$C$9:$R$257,9,FALSE))</f>
        <v xml:space="preserve">High strategic significance </v>
      </c>
      <c r="K119" s="382">
        <f>IF(J119="","",VLOOKUP($B119,'C-1 On-Site WaterC'' Baseline'!$C$9:$R$257,10,FALSE))</f>
        <v>1.1499999999999999</v>
      </c>
      <c r="L119" s="382" t="str">
        <f>IF(B119="","",VLOOKUP($B119,'C-1 On-Site WaterC'' Baseline'!$C$9:$R$257,15,FALSE))</f>
        <v>Same habitat required =</v>
      </c>
      <c r="M119" s="386">
        <f>IF(L119="","",VLOOKUP($B119,'C-1 On-Site WaterC'' Baseline'!$C$9:$R$257,16,FALSE))</f>
        <v>1.0141492072794076</v>
      </c>
      <c r="N119" s="320" t="str">
        <f t="shared" si="8"/>
        <v>Other rivers and streams</v>
      </c>
      <c r="O119" s="362" t="str">
        <f t="shared" si="10"/>
        <v>High - High</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Moderate - Moderate</v>
      </c>
      <c r="Q119" s="425">
        <f>IF(N119="","",VLOOKUP(B119,'C-1 On-Site WaterC'' Baseline'!$C$10:$AB$257,19,FALSE))</f>
        <v>9.7985430655015249E-2</v>
      </c>
      <c r="R119" s="362" t="str">
        <f>IF(N119="","",VLOOKUP(N119,'G-7 WaterC'' Data'!$B$2:$G$8,2,FALSE))</f>
        <v>High</v>
      </c>
      <c r="S119" s="363">
        <f>IFERROR(VLOOKUP(R119,'G-7 WaterC'' Data'!$C$4:$D$8,2,FALSE),"")</f>
        <v>6</v>
      </c>
      <c r="T119" s="114" t="s">
        <v>67</v>
      </c>
      <c r="U119" s="363">
        <f>IFERROR(INDEX('G-7 WaterC'' Data'!$H$4:$L$8,MATCH(N119,'G-7 WaterC'' Data'!$B$4:$B$8,0),MATCH(T119,'G-7 WaterC'' Data'!$H$3:$L$3,0)),"")</f>
        <v>2</v>
      </c>
      <c r="V119" s="114" t="s">
        <v>1029</v>
      </c>
      <c r="W119" s="370" t="str">
        <f>IF(V119="","",IF(VLOOKUP(V119,'G-7 WaterC'' Data'!$AK$4:$AM$6,2,FALSE)=0,"Spatial Data Missing ⚠",VLOOKUP(V119,'G-7 WaterC'' Data'!$AK$4:$AM$6,2,FALSE)))</f>
        <v xml:space="preserve">High strategic significance </v>
      </c>
      <c r="X119" s="363">
        <f>IF(V119="","",IF(VLOOKUP(V119,'G-7 WaterC'' Data'!$AK$4:$AM$6,3,FALSE)=0,"Spatial Data Missing ⚠",VLOOKUP(V119,'G-7 WaterC'' Data'!$AK$4:$AM$6,3,FALSE)))</f>
        <v>1.1499999999999999</v>
      </c>
      <c r="Y119" s="362">
        <f>IFERROR(IF(OR(LEFT(P119,5)="Error",LEFT(O119,5)="Error ▲"),"Check Data ⚠",IF(F119&lt;S119,'G-7 WaterC'' Data'!$R$3,INDEX('G-7 WaterC'' Data'!$U$5:$Y$9,MATCH(G119,'G-7 WaterC'' Data'!$T$5:$T$9,0),MATCH(T119,'G-7 WaterC'' Data'!$U$4:$Y$4,0)))),"")</f>
        <v>1</v>
      </c>
      <c r="Z119" s="159">
        <v>0</v>
      </c>
      <c r="AA119" s="159">
        <v>0</v>
      </c>
      <c r="AB119" s="370" t="str">
        <f t="shared" si="11"/>
        <v>Standard time to target condition applied</v>
      </c>
      <c r="AC119" s="383">
        <f t="shared" si="12"/>
        <v>1</v>
      </c>
      <c r="AD119" s="422">
        <f>IFERROR(IF(AC119="Check Data ⚠","Check Data ⚠",VLOOKUP(AC119,'G-4 Temporal multipliers'!$A$4:$C$37,3,FALSE)),"")</f>
        <v>0.96499999999999997</v>
      </c>
      <c r="AE119" s="362" t="str">
        <f>IF(N119="","",VLOOKUP(N119,'G-7 WaterC'' Data'!$B$4:$G$8,5,FALSE))</f>
        <v>Medium</v>
      </c>
      <c r="AF119" s="370" t="str">
        <f t="shared" si="13"/>
        <v>Standard difficulty applied</v>
      </c>
      <c r="AG119" s="401" t="str">
        <f t="shared" si="14"/>
        <v>Medium</v>
      </c>
      <c r="AH119" s="363">
        <f t="shared" si="9"/>
        <v>0.67</v>
      </c>
      <c r="AI119" s="122" t="s">
        <v>1126</v>
      </c>
      <c r="AJ119" s="363">
        <f>IF(AI119="","",IF(VLOOKUP(AI119,'G-7 WaterC'' Data'!$AA$4:$AB$7,2,FALSE)=0,"Spatial Data Missing ⚠",VLOOKUP(AI119,'G-7 WaterC'' Data'!$AA$4:$AB$7,2,FALSE)))</f>
        <v>1</v>
      </c>
      <c r="AK119" s="123" t="s">
        <v>1142</v>
      </c>
      <c r="AL119" s="363">
        <f>IF(AK119="","",IF(VLOOKUP(AK119,'G-7 WaterC'' Data'!$AD$4:$AE$14,2,FALSE)=0,"Spatial Data Missing ⚠",VLOOKUP(AK119,'G-7 WaterC'' Data'!$AD$4:$AE$14,2,FALSE)))</f>
        <v>0.87</v>
      </c>
      <c r="AM119" s="405">
        <f t="shared" si="15"/>
        <v>1.1764130804441131</v>
      </c>
      <c r="AN119" s="117"/>
      <c r="AO119" s="118"/>
      <c r="AP119" s="120" t="s">
        <v>2115</v>
      </c>
      <c r="AV119" s="30" t="str">
        <f>IFERROR(INDEX('G-7 WaterC'' Data'!$AZ$3:$AZ$7,MATCH(N119,'G-7 WaterC'' Data'!$AY$3:$AY$7,0)),"")</f>
        <v>Rivercond1</v>
      </c>
    </row>
    <row r="120" spans="2:48" ht="28.5" x14ac:dyDescent="0.2">
      <c r="B120" s="392">
        <f>'C-1 On-Site WaterC'' Baseline'!AO118</f>
        <v>115</v>
      </c>
      <c r="C120" s="382" t="str">
        <f>IF(B120="","",VLOOKUP($B120,'C-1 On-Site WaterC'' Baseline'!$C$9:$R$257,2,FALSE))</f>
        <v>Other rivers and streams</v>
      </c>
      <c r="D120" s="382">
        <f>IF(C120="","",VLOOKUP($B120,'C-1 On-Site WaterC'' Baseline'!$C$9:$R$257,3,FALSE))</f>
        <v>0.1683747542696345</v>
      </c>
      <c r="E120" s="382" t="str">
        <f>IF(D120="","",VLOOKUP($B120,'C-1 On-Site WaterC'' Baseline'!$C$9:$R$257,4,FALSE))</f>
        <v>High</v>
      </c>
      <c r="F120" s="382">
        <f>IF(E120="","",VLOOKUP($B120,'C-1 On-Site WaterC'' Baseline'!$C$9:$R$257,5,FALSE))</f>
        <v>6</v>
      </c>
      <c r="G120" s="382" t="str">
        <f>IF(F120="","",VLOOKUP($B120,'C-1 On-Site WaterC'' Baseline'!$C$9:$R$257,6,FALSE))</f>
        <v>Moderate</v>
      </c>
      <c r="H120" s="382">
        <f>IF(G120="","",VLOOKUP($B120,'C-1 On-Site WaterC'' Baseline'!$C$9:$R$257,7,FALSE))</f>
        <v>2</v>
      </c>
      <c r="I120" s="382" t="str">
        <f>IF(H120="","",VLOOKUP($B120,'C-1 On-Site WaterC'' Baseline'!$C$9:$R$257,8,FALSE))</f>
        <v>Formally identified in local strategy</v>
      </c>
      <c r="J120" s="382" t="str">
        <f>IF(I120="","",VLOOKUP($B120,'C-1 On-Site WaterC'' Baseline'!$C$9:$R$257,9,FALSE))</f>
        <v xml:space="preserve">High strategic significance </v>
      </c>
      <c r="K120" s="382">
        <f>IF(J120="","",VLOOKUP($B120,'C-1 On-Site WaterC'' Baseline'!$C$9:$R$257,10,FALSE))</f>
        <v>1.1499999999999999</v>
      </c>
      <c r="L120" s="382" t="str">
        <f>IF(B120="","",VLOOKUP($B120,'C-1 On-Site WaterC'' Baseline'!$C$9:$R$257,15,FALSE))</f>
        <v>Same habitat required =</v>
      </c>
      <c r="M120" s="386">
        <f>IF(L120="","",VLOOKUP($B120,'C-1 On-Site WaterC'' Baseline'!$C$9:$R$257,16,FALSE))</f>
        <v>1.7426787066907168</v>
      </c>
      <c r="N120" s="320" t="str">
        <f t="shared" si="8"/>
        <v>Other rivers and streams</v>
      </c>
      <c r="O120" s="362" t="str">
        <f t="shared" si="10"/>
        <v>High - High</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Moderate - Moderate</v>
      </c>
      <c r="Q120" s="425">
        <f>IF(N120="","",VLOOKUP(B120,'C-1 On-Site WaterC'' Baseline'!$C$10:$AB$257,19,FALSE))</f>
        <v>0.1683747542696345</v>
      </c>
      <c r="R120" s="362" t="str">
        <f>IF(N120="","",VLOOKUP(N120,'G-7 WaterC'' Data'!$B$2:$G$8,2,FALSE))</f>
        <v>High</v>
      </c>
      <c r="S120" s="363">
        <f>IFERROR(VLOOKUP(R120,'G-7 WaterC'' Data'!$C$4:$D$8,2,FALSE),"")</f>
        <v>6</v>
      </c>
      <c r="T120" s="114" t="s">
        <v>67</v>
      </c>
      <c r="U120" s="363">
        <f>IFERROR(INDEX('G-7 WaterC'' Data'!$H$4:$L$8,MATCH(N120,'G-7 WaterC'' Data'!$B$4:$B$8,0),MATCH(T120,'G-7 WaterC'' Data'!$H$3:$L$3,0)),"")</f>
        <v>2</v>
      </c>
      <c r="V120" s="114" t="s">
        <v>1029</v>
      </c>
      <c r="W120" s="370" t="str">
        <f>IF(V120="","",IF(VLOOKUP(V120,'G-7 WaterC'' Data'!$AK$4:$AM$6,2,FALSE)=0,"Spatial Data Missing ⚠",VLOOKUP(V120,'G-7 WaterC'' Data'!$AK$4:$AM$6,2,FALSE)))</f>
        <v xml:space="preserve">High strategic significance </v>
      </c>
      <c r="X120" s="363">
        <f>IF(V120="","",IF(VLOOKUP(V120,'G-7 WaterC'' Data'!$AK$4:$AM$6,3,FALSE)=0,"Spatial Data Missing ⚠",VLOOKUP(V120,'G-7 WaterC'' Data'!$AK$4:$AM$6,3,FALSE)))</f>
        <v>1.1499999999999999</v>
      </c>
      <c r="Y120" s="362">
        <f>IFERROR(IF(OR(LEFT(P120,5)="Error",LEFT(O120,5)="Error ▲"),"Check Data ⚠",IF(F120&lt;S120,'G-7 WaterC'' Data'!$R$3,INDEX('G-7 WaterC'' Data'!$U$5:$Y$9,MATCH(G120,'G-7 WaterC'' Data'!$T$5:$T$9,0),MATCH(T120,'G-7 WaterC'' Data'!$U$4:$Y$4,0)))),"")</f>
        <v>1</v>
      </c>
      <c r="Z120" s="159">
        <v>0</v>
      </c>
      <c r="AA120" s="159">
        <v>0</v>
      </c>
      <c r="AB120" s="370" t="str">
        <f t="shared" si="11"/>
        <v>Standard time to target condition applied</v>
      </c>
      <c r="AC120" s="383">
        <f t="shared" si="12"/>
        <v>1</v>
      </c>
      <c r="AD120" s="422">
        <f>IFERROR(IF(AC120="Check Data ⚠","Check Data ⚠",VLOOKUP(AC120,'G-4 Temporal multipliers'!$A$4:$C$37,3,FALSE)),"")</f>
        <v>0.96499999999999997</v>
      </c>
      <c r="AE120" s="362" t="str">
        <f>IF(N120="","",VLOOKUP(N120,'G-7 WaterC'' Data'!$B$4:$G$8,5,FALSE))</f>
        <v>Medium</v>
      </c>
      <c r="AF120" s="370" t="str">
        <f t="shared" si="13"/>
        <v>Standard difficulty applied</v>
      </c>
      <c r="AG120" s="401" t="str">
        <f t="shared" si="14"/>
        <v>Medium</v>
      </c>
      <c r="AH120" s="363">
        <f t="shared" si="9"/>
        <v>0.67</v>
      </c>
      <c r="AI120" s="122" t="s">
        <v>1126</v>
      </c>
      <c r="AJ120" s="363">
        <f>IF(AI120="","",IF(VLOOKUP(AI120,'G-7 WaterC'' Data'!$AA$4:$AB$7,2,FALSE)=0,"Spatial Data Missing ⚠",VLOOKUP(AI120,'G-7 WaterC'' Data'!$AA$4:$AB$7,2,FALSE)))</f>
        <v>1</v>
      </c>
      <c r="AK120" s="123" t="s">
        <v>1153</v>
      </c>
      <c r="AL120" s="363">
        <f>IF(AK120="","",IF(VLOOKUP(AK120,'G-7 WaterC'' Data'!$AD$4:$AE$14,2,FALSE)=0,"Spatial Data Missing ⚠",VLOOKUP(AK120,'G-7 WaterC'' Data'!$AD$4:$AE$14,2,FALSE)))</f>
        <v>1</v>
      </c>
      <c r="AM120" s="405">
        <f t="shared" si="15"/>
        <v>2.3235716089209557</v>
      </c>
      <c r="AN120" s="117"/>
      <c r="AO120" s="118"/>
      <c r="AP120" s="120" t="s">
        <v>2116</v>
      </c>
      <c r="AV120" s="30" t="str">
        <f>IFERROR(INDEX('G-7 WaterC'' Data'!$AZ$3:$AZ$7,MATCH(N120,'G-7 WaterC'' Data'!$AY$3:$AY$7,0)),"")</f>
        <v>Rivercond1</v>
      </c>
    </row>
    <row r="121" spans="2:48" ht="14.25" x14ac:dyDescent="0.2">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4.25" x14ac:dyDescent="0.2">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4.25" x14ac:dyDescent="0.2">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4.25" x14ac:dyDescent="0.2">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4.25" x14ac:dyDescent="0.2">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4.25" x14ac:dyDescent="0.2">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4.25" x14ac:dyDescent="0.2">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4.25" x14ac:dyDescent="0.2">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4.25" x14ac:dyDescent="0.2">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4.25" x14ac:dyDescent="0.2">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4.25" x14ac:dyDescent="0.2">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4.25" x14ac:dyDescent="0.2">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4.25" x14ac:dyDescent="0.2">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4.25" x14ac:dyDescent="0.2">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4.25" x14ac:dyDescent="0.2">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4.25" x14ac:dyDescent="0.2">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4.25" x14ac:dyDescent="0.2">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4.25" x14ac:dyDescent="0.2">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4.25" x14ac:dyDescent="0.2">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4.25" x14ac:dyDescent="0.2">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4.25" x14ac:dyDescent="0.2">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4.25" x14ac:dyDescent="0.2">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4.25" x14ac:dyDescent="0.2">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4.25" x14ac:dyDescent="0.2">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4.25" x14ac:dyDescent="0.2">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4.25" x14ac:dyDescent="0.2">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4.25" x14ac:dyDescent="0.2">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4.25" x14ac:dyDescent="0.2">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4.25" x14ac:dyDescent="0.2">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4.25" x14ac:dyDescent="0.2">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4.25" x14ac:dyDescent="0.2">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4.25" x14ac:dyDescent="0.2">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4.25" x14ac:dyDescent="0.2">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4.25" x14ac:dyDescent="0.2">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4.25" x14ac:dyDescent="0.2">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4.25" x14ac:dyDescent="0.2">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4.25" x14ac:dyDescent="0.2">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4.25" x14ac:dyDescent="0.2">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4.25" x14ac:dyDescent="0.2">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4.25" x14ac:dyDescent="0.2">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4.25" x14ac:dyDescent="0.2">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4.25" x14ac:dyDescent="0.2">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4.25" x14ac:dyDescent="0.2">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4.25" x14ac:dyDescent="0.2">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4.25" x14ac:dyDescent="0.2">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4.25" x14ac:dyDescent="0.2">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4.25" x14ac:dyDescent="0.2">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4.25" x14ac:dyDescent="0.2">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4.25" x14ac:dyDescent="0.2">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4.25" x14ac:dyDescent="0.2">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4.25" x14ac:dyDescent="0.2">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4.25" x14ac:dyDescent="0.2">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4.25" x14ac:dyDescent="0.2">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4.25" x14ac:dyDescent="0.2">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4.25" x14ac:dyDescent="0.2">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4.25" x14ac:dyDescent="0.2">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4.25" x14ac:dyDescent="0.2">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4.25" x14ac:dyDescent="0.2">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4.25" x14ac:dyDescent="0.2">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4.25" x14ac:dyDescent="0.2">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4.25" x14ac:dyDescent="0.2">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4.25" x14ac:dyDescent="0.2">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4.25" x14ac:dyDescent="0.2">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4.25" x14ac:dyDescent="0.2">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4.25" x14ac:dyDescent="0.2">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4.25" x14ac:dyDescent="0.2">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4.25" x14ac:dyDescent="0.2">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4.25" x14ac:dyDescent="0.2">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4.25" x14ac:dyDescent="0.2">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4.25" x14ac:dyDescent="0.2">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4.25" x14ac:dyDescent="0.2">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4.25" x14ac:dyDescent="0.2">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4.25" x14ac:dyDescent="0.2">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4.25" x14ac:dyDescent="0.2">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4.25" x14ac:dyDescent="0.2">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4.25" x14ac:dyDescent="0.2">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4.25" x14ac:dyDescent="0.2">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4.25" x14ac:dyDescent="0.2">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4.25" x14ac:dyDescent="0.2">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4.25" x14ac:dyDescent="0.2">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4.25" x14ac:dyDescent="0.2">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4.25" x14ac:dyDescent="0.2">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4.25" x14ac:dyDescent="0.2">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4.25" x14ac:dyDescent="0.2">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4.25" x14ac:dyDescent="0.2">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4.25" x14ac:dyDescent="0.2">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4.25" x14ac:dyDescent="0.2">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4.25" x14ac:dyDescent="0.2">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4.25" x14ac:dyDescent="0.2">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4.25" x14ac:dyDescent="0.2">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4.25" x14ac:dyDescent="0.2">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4.25" x14ac:dyDescent="0.2">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4.25" x14ac:dyDescent="0.2">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4.25" x14ac:dyDescent="0.2">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4.25" x14ac:dyDescent="0.2">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4.25" x14ac:dyDescent="0.2">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4.25" x14ac:dyDescent="0.2">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4.25" x14ac:dyDescent="0.2">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4.25" x14ac:dyDescent="0.2">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4.25" x14ac:dyDescent="0.2">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4.25" x14ac:dyDescent="0.2">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4.25" x14ac:dyDescent="0.2">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4.25" x14ac:dyDescent="0.2">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4.25" x14ac:dyDescent="0.2">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4.25" x14ac:dyDescent="0.2">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4.25" x14ac:dyDescent="0.2">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4.25" x14ac:dyDescent="0.2">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4.25" x14ac:dyDescent="0.2">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4.25" x14ac:dyDescent="0.2">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4.25" x14ac:dyDescent="0.2">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4.25" x14ac:dyDescent="0.2">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4.25" x14ac:dyDescent="0.2">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4.25" x14ac:dyDescent="0.2">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4.25" x14ac:dyDescent="0.2">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4.25" x14ac:dyDescent="0.2">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4.25" x14ac:dyDescent="0.2">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4.25" x14ac:dyDescent="0.2">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4.25" x14ac:dyDescent="0.2">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4.25" x14ac:dyDescent="0.2">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4.25" x14ac:dyDescent="0.2">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4.25" x14ac:dyDescent="0.2">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4.25" x14ac:dyDescent="0.2">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4.25" x14ac:dyDescent="0.2">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4.25" x14ac:dyDescent="0.2">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4.25" x14ac:dyDescent="0.2">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4.25" x14ac:dyDescent="0.2">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4.25" x14ac:dyDescent="0.2">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4.25" x14ac:dyDescent="0.2">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4.25" x14ac:dyDescent="0.2">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4.25" x14ac:dyDescent="0.2">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4.25" x14ac:dyDescent="0.2">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4.25" x14ac:dyDescent="0.2">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4.25" x14ac:dyDescent="0.2">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4.25" x14ac:dyDescent="0.2">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4.25" x14ac:dyDescent="0.2">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4.25" x14ac:dyDescent="0.2">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 thickBot="1" x14ac:dyDescent="0.25">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 thickBot="1" x14ac:dyDescent="0.25">
      <c r="C258" s="133"/>
      <c r="D258" s="133"/>
      <c r="E258" s="133"/>
      <c r="F258" s="133"/>
      <c r="G258" s="133"/>
      <c r="H258" s="133"/>
      <c r="I258" s="133"/>
      <c r="J258" s="133"/>
      <c r="K258" s="133"/>
      <c r="L258" s="133"/>
      <c r="M258" s="133"/>
      <c r="N258" s="223"/>
      <c r="O258" s="133"/>
      <c r="P258" s="133"/>
      <c r="Q258" s="424">
        <f>SUM(Q12:Q257)</f>
        <v>36.136089026676856</v>
      </c>
      <c r="R258" s="222"/>
      <c r="AJ258" s="30" t="str">
        <f>IF(AI258="","",IF(VLOOKUP(AI258,'[2]G-7 Rivers Data'!$AA$4:$AB$6,2,FALSE)=0,"Spatial Data Missing",VLOOKUP(AI258,'[2]G-7 Rivers Data'!$AA$4:$AB$6,2,FALSE)))</f>
        <v/>
      </c>
      <c r="AK258" s="1527"/>
      <c r="AL258" s="1527"/>
      <c r="AM258" s="345">
        <f>SUM(AM12:AM257)</f>
        <v>200.5505955530617</v>
      </c>
    </row>
    <row r="259" spans="2:48" ht="14.25" x14ac:dyDescent="0.2">
      <c r="AJ259" s="30"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7SONniOoQ1321mfv86QFoEIqtrHiochFPz0q3w9U9jKPQUfcabr39rKTS+xABrHGZ3P/33s7KQQi1H4tsPwPEw==" saltValue="ScEtz5f3CJDsqXE8mfTkF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10" priority="25" operator="containsText" text="Restore">
      <formula>NOT(ISERROR(SEARCH("Restore",L12)))</formula>
    </cfRule>
  </conditionalFormatting>
  <conditionalFormatting sqref="O12:P257">
    <cfRule type="containsText" dxfId="109" priority="23" operator="containsText" text="Check">
      <formula>NOT(ISERROR(SEARCH("Check",O12)))</formula>
    </cfRule>
    <cfRule type="containsText" dxfId="108" priority="24" operator="containsText" text="Error">
      <formula>NOT(ISERROR(SEARCH("Error",O12)))</formula>
    </cfRule>
  </conditionalFormatting>
  <conditionalFormatting sqref="P3">
    <cfRule type="containsText" dxfId="107" priority="14" operator="containsText" text="Check">
      <formula>NOT(ISERROR(SEARCH("Check",P3)))</formula>
    </cfRule>
  </conditionalFormatting>
  <conditionalFormatting sqref="P3:P4">
    <cfRule type="containsText" dxfId="106" priority="3" operator="containsText" text="Error">
      <formula>NOT(ISERROR(SEARCH("Error",P3)))</formula>
    </cfRule>
  </conditionalFormatting>
  <conditionalFormatting sqref="P4">
    <cfRule type="cellIs" dxfId="105" priority="1" operator="equal">
      <formula>0</formula>
    </cfRule>
    <cfRule type="containsText" dxfId="104" priority="2" operator="containsText" text="Check">
      <formula>NOT(ISERROR(SEARCH("Check",P4)))</formula>
    </cfRule>
    <cfRule type="cellIs" dxfId="103" priority="4" operator="lessThan">
      <formula>0</formula>
    </cfRule>
  </conditionalFormatting>
  <conditionalFormatting sqref="P5">
    <cfRule type="containsText" dxfId="100" priority="6" operator="containsText" text="No">
      <formula>NOT(ISERROR(SEARCH("No",P5)))</formula>
    </cfRule>
    <cfRule type="containsText" dxfId="99" priority="7" operator="containsText" text="Yes">
      <formula>NOT(ISERROR(SEARCH("Yes",P5)))</formula>
    </cfRule>
  </conditionalFormatting>
  <conditionalFormatting sqref="S2:X4">
    <cfRule type="containsText" dxfId="98" priority="8" operator="containsText" text="Check">
      <formula>NOT(ISERROR(SEARCH("Check",S2)))</formula>
    </cfRule>
  </conditionalFormatting>
  <conditionalFormatting sqref="U12:U257">
    <cfRule type="containsText" dxfId="97" priority="5" operator="containsText" text="Not possible">
      <formula>NOT(ISERROR(SEARCH("Not possible",U12)))</formula>
    </cfRule>
  </conditionalFormatting>
  <conditionalFormatting sqref="W12:X257">
    <cfRule type="containsText" dxfId="96" priority="22" operator="containsText" text="Spatial">
      <formula>NOT(ISERROR(SEARCH("Spatial",W12)))</formula>
    </cfRule>
  </conditionalFormatting>
  <conditionalFormatting sqref="Y2">
    <cfRule type="containsText" dxfId="95" priority="15" operator="containsText" text="Note">
      <formula>NOT(ISERROR(SEARCH("Note",Y2)))</formula>
    </cfRule>
  </conditionalFormatting>
  <conditionalFormatting sqref="Y12:Y257">
    <cfRule type="containsText" dxfId="94" priority="20" operator="containsText" text="Check">
      <formula>NOT(ISERROR(SEARCH("Check",Y12)))</formula>
    </cfRule>
    <cfRule type="containsText" dxfId="93" priority="21" operator="containsText" text="Error">
      <formula>NOT(ISERROR(SEARCH("Error",Y12)))</formula>
    </cfRule>
  </conditionalFormatting>
  <conditionalFormatting sqref="AB12:AM12 AB13:AL257 AM13:AM258">
    <cfRule type="containsText" dxfId="92" priority="18" operator="containsText" text="Check">
      <formula>NOT(ISERROR(SEARCH("Check",AB12)))</formula>
    </cfRule>
    <cfRule type="beginsWith" dxfId="91" priority="19" operator="beginsWith" text="Error">
      <formula>LEFT(AB12,LEN("Error"))="Error"</formula>
    </cfRule>
  </conditionalFormatting>
  <conditionalFormatting sqref="AF12:AF257">
    <cfRule type="beginsWith" dxfId="90" priority="17" operator="beginsWith" text="No - Low Difficulty">
      <formula>LEFT(AF12,LEN("No - Low Difficulty"))="No - Low Difficulty"</formula>
    </cfRule>
  </conditionalFormatting>
  <conditionalFormatting sqref="AJ12:AL257">
    <cfRule type="containsText" dxfId="89" priority="16" operator="containsText" text="Spatial">
      <formula>NOT(ISERROR(SEARCH("Spatial",AJ12)))</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7" operator="lessThan" id="{A52B8C1E-E180-4514-9FE9-CBD52145CDDA}">
            <xm:f>Start!$F$22</xm:f>
            <x14:dxf>
              <font>
                <color rgb="FF383745"/>
              </font>
              <fill>
                <patternFill>
                  <bgColor rgb="FFFFC000"/>
                </patternFill>
              </fill>
            </x14:dxf>
          </x14:cfRule>
          <x14:cfRule type="cellIs" priority="448"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85546875" defaultRowHeight="0" customHeight="1" zeroHeight="1" x14ac:dyDescent="0.2"/>
  <cols>
    <col min="1" max="1" width="3" style="30" customWidth="1"/>
    <col min="2" max="2" width="4.7109375" style="102" customWidth="1"/>
    <col min="3" max="3" width="10" style="102" customWidth="1"/>
    <col min="4" max="4" width="55" style="30" customWidth="1"/>
    <col min="5" max="5" width="13.140625" style="30" customWidth="1"/>
    <col min="6" max="6" width="18.85546875" style="30" customWidth="1"/>
    <col min="7" max="7" width="8.7109375" style="30" customWidth="1"/>
    <col min="8" max="8" width="14.28515625" style="30" bestFit="1" customWidth="1"/>
    <col min="9" max="9" width="12.85546875" style="30" customWidth="1"/>
    <col min="10" max="10" width="33.7109375" style="30" customWidth="1"/>
    <col min="11" max="11" width="15.140625" style="30" customWidth="1"/>
    <col min="12" max="12" width="13.7109375" style="30" customWidth="1"/>
    <col min="13" max="13" width="18.140625" style="30" customWidth="1"/>
    <col min="14" max="14" width="12.855468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140625" style="30" customWidth="1"/>
    <col min="22" max="22" width="3.7109375" style="30" customWidth="1"/>
    <col min="23" max="23" width="12.140625" style="30" customWidth="1"/>
    <col min="24" max="24" width="12.85546875" style="30" customWidth="1"/>
    <col min="25" max="25" width="10.85546875" style="30" customWidth="1"/>
    <col min="26" max="26" width="11.85546875" style="30" customWidth="1"/>
    <col min="27" max="27" width="15.42578125" style="30" customWidth="1"/>
    <col min="28" max="28" width="13.5703125" style="30" customWidth="1"/>
    <col min="29" max="29" width="17.28515625" style="30" customWidth="1"/>
    <col min="30" max="31" width="50.140625" style="30" customWidth="1"/>
    <col min="32" max="32" width="12.5703125" style="30" customWidth="1"/>
    <col min="33" max="33" width="12.140625" style="30" customWidth="1"/>
    <col min="34" max="34" width="10.140625" style="30" hidden="1" customWidth="1"/>
    <col min="35" max="35" width="11.42578125" style="30" hidden="1" customWidth="1"/>
    <col min="36" max="36" width="22.28515625" style="30" hidden="1" customWidth="1"/>
    <col min="37" max="51" width="6.85546875" style="30" hidden="1" customWidth="1"/>
    <col min="52" max="52" width="10.85546875" style="30" hidden="1" customWidth="1"/>
    <col min="53" max="58" width="6.85546875" style="30" hidden="1" customWidth="1"/>
    <col min="59" max="61" width="6.85546875" style="30" customWidth="1"/>
    <col min="62" max="16384" width="6.85546875" style="30"/>
  </cols>
  <sheetData>
    <row r="1" spans="2:52" ht="12.75" customHeight="1" thickBot="1" x14ac:dyDescent="0.25">
      <c r="B1" s="30"/>
      <c r="C1" s="30"/>
    </row>
    <row r="2" spans="2:52" ht="19.5" customHeight="1" thickBot="1" x14ac:dyDescent="0.25">
      <c r="B2" s="1597" t="str">
        <f>CONCATENATE("Project Name:", " ", Start!F12, "     ", "Map Reference:", " ", Start!F66)</f>
        <v xml:space="preserve">Project Name: Botley West Solar Farm     Map Reference: </v>
      </c>
      <c r="C2" s="1600"/>
      <c r="D2" s="1600"/>
      <c r="E2" s="1598"/>
      <c r="H2" s="1592" t="s">
        <v>405</v>
      </c>
      <c r="I2" s="1604"/>
      <c r="J2" s="1604"/>
      <c r="K2" s="1604"/>
      <c r="L2" s="1604"/>
      <c r="M2" s="1593"/>
      <c r="O2" s="1612" t="str" cm="1">
        <f t="array" ref="O2">IF(OR(H10:H257 = "Fairly Good", H10:H257 = "Fairly Poor"),"A 'Fairly' Category has been used - check evidence to ensure this is appropriate ⚠", "")</f>
        <v/>
      </c>
      <c r="P2" s="1612"/>
      <c r="Q2" s="1612"/>
      <c r="R2" s="1612"/>
      <c r="S2" s="1612"/>
      <c r="T2" s="1612"/>
      <c r="U2" s="1612"/>
      <c r="V2" s="1612"/>
    </row>
    <row r="3" spans="2:52" ht="15" customHeight="1" thickBot="1" x14ac:dyDescent="0.25">
      <c r="B3" s="1554" t="str">
        <f ca="1">MID(CELL("filename",A1),FIND("]",CELL("filename",A1))+1,256)</f>
        <v>F-1 Off-Site WaterC' Baseline</v>
      </c>
      <c r="C3" s="1555"/>
      <c r="D3" s="1555"/>
      <c r="E3" s="1556"/>
      <c r="H3" s="1502" t="s">
        <v>264</v>
      </c>
      <c r="I3" s="1503"/>
      <c r="J3" s="1503"/>
      <c r="K3" s="1498">
        <f>'Headline Results'!H49</f>
        <v>43.946329363163812</v>
      </c>
      <c r="L3" s="1498"/>
      <c r="M3" s="1499"/>
      <c r="O3" s="1612"/>
      <c r="P3" s="1612"/>
      <c r="Q3" s="1612"/>
      <c r="R3" s="1612"/>
      <c r="S3" s="1612"/>
      <c r="T3" s="1612"/>
      <c r="U3" s="1612"/>
      <c r="V3" s="1612"/>
    </row>
    <row r="4" spans="2:52" ht="15" customHeight="1" thickBot="1" x14ac:dyDescent="0.25">
      <c r="B4" s="1554"/>
      <c r="C4" s="1555"/>
      <c r="D4" s="1555"/>
      <c r="E4" s="1556"/>
      <c r="H4" s="1580" t="s">
        <v>266</v>
      </c>
      <c r="I4" s="1581"/>
      <c r="J4" s="1581"/>
      <c r="K4" s="1574">
        <f>'Headline Results'!H53</f>
        <v>0.27744408214444821</v>
      </c>
      <c r="L4" s="1574"/>
      <c r="M4" s="1575"/>
      <c r="O4" s="1612"/>
      <c r="P4" s="1612"/>
      <c r="Q4" s="1612"/>
      <c r="R4" s="1612"/>
      <c r="S4" s="1612"/>
      <c r="T4" s="1612"/>
      <c r="U4" s="1612"/>
      <c r="V4" s="1612"/>
      <c r="W4" s="1605" t="str">
        <f>IF(SUM(AK10:AK257)&gt;0,"Check Lengths ⚠","")</f>
        <v/>
      </c>
      <c r="X4" s="1605"/>
      <c r="Y4" s="1605"/>
      <c r="Z4" s="1605"/>
      <c r="AA4" s="1605"/>
      <c r="AB4" s="1605"/>
      <c r="AC4" s="669"/>
    </row>
    <row r="5" spans="2:52" ht="27" customHeight="1" thickBot="1" x14ac:dyDescent="0.25">
      <c r="B5" s="30"/>
      <c r="C5" s="30"/>
      <c r="H5" s="1579" t="s">
        <v>268</v>
      </c>
      <c r="I5" s="1576"/>
      <c r="J5" s="1576"/>
      <c r="K5" s="1576" t="str" cm="1">
        <f t="array" ref="K5">IF(OR('Trading Summary WaterC''s'!G5:H8="No ▲"), "No - check trading summary ▲", "Yes ✓")</f>
        <v>Yes ✓</v>
      </c>
      <c r="L5" s="1576"/>
      <c r="M5" s="1577"/>
      <c r="V5" s="329"/>
      <c r="W5" s="1605"/>
      <c r="X5" s="1605"/>
      <c r="Y5" s="1605"/>
      <c r="Z5" s="1605"/>
      <c r="AA5" s="1605"/>
      <c r="AB5" s="1605"/>
      <c r="AC5" s="669"/>
    </row>
    <row r="6" spans="2:52" ht="40.15" customHeight="1" x14ac:dyDescent="0.2">
      <c r="B6" s="30"/>
      <c r="C6" s="30"/>
      <c r="D6" s="101"/>
    </row>
    <row r="7" spans="2:52" ht="15" thickBot="1" x14ac:dyDescent="0.25"/>
    <row r="8" spans="2:52" ht="30.75" customHeight="1" thickBot="1" x14ac:dyDescent="0.25">
      <c r="C8" s="1533" t="s">
        <v>406</v>
      </c>
      <c r="D8" s="1533"/>
      <c r="E8" s="1533"/>
      <c r="F8" s="1549" t="s">
        <v>270</v>
      </c>
      <c r="G8" s="1549"/>
      <c r="H8" s="1549" t="s">
        <v>358</v>
      </c>
      <c r="I8" s="1549"/>
      <c r="J8" s="1533" t="s">
        <v>272</v>
      </c>
      <c r="K8" s="1533"/>
      <c r="L8" s="1533"/>
      <c r="M8" s="1549" t="s">
        <v>407</v>
      </c>
      <c r="N8" s="1549"/>
      <c r="O8" s="1549" t="s">
        <v>408</v>
      </c>
      <c r="P8" s="1549"/>
      <c r="Q8" s="1531" t="s">
        <v>273</v>
      </c>
      <c r="R8" s="134" t="s">
        <v>274</v>
      </c>
      <c r="S8" s="1532" t="s">
        <v>359</v>
      </c>
      <c r="T8" s="1533"/>
      <c r="U8" s="134" t="s">
        <v>274</v>
      </c>
      <c r="V8" s="103"/>
      <c r="W8" s="1533" t="s">
        <v>275</v>
      </c>
      <c r="X8" s="1533"/>
      <c r="Y8" s="1533"/>
      <c r="Z8" s="1533"/>
      <c r="AA8" s="1533"/>
      <c r="AB8" s="1533"/>
      <c r="AC8" s="1534" t="s">
        <v>276</v>
      </c>
      <c r="AD8" s="1533" t="s">
        <v>277</v>
      </c>
      <c r="AE8" s="1533"/>
      <c r="AH8" s="37" t="s">
        <v>267</v>
      </c>
      <c r="AI8" s="37" t="s">
        <v>267</v>
      </c>
    </row>
    <row r="9" spans="2:52" ht="62.1" customHeight="1" thickBot="1" x14ac:dyDescent="0.25">
      <c r="C9" s="132" t="s">
        <v>340</v>
      </c>
      <c r="D9" s="811" t="s">
        <v>193</v>
      </c>
      <c r="E9" s="752" t="s">
        <v>34</v>
      </c>
      <c r="F9" s="132" t="s">
        <v>270</v>
      </c>
      <c r="G9" s="752" t="s">
        <v>287</v>
      </c>
      <c r="H9" s="132" t="s">
        <v>271</v>
      </c>
      <c r="I9" s="752" t="s">
        <v>287</v>
      </c>
      <c r="J9" s="132" t="s">
        <v>272</v>
      </c>
      <c r="K9" s="811" t="s">
        <v>272</v>
      </c>
      <c r="L9" s="752" t="s">
        <v>318</v>
      </c>
      <c r="M9" s="132" t="s">
        <v>410</v>
      </c>
      <c r="N9" s="752" t="s">
        <v>411</v>
      </c>
      <c r="O9" s="132" t="s">
        <v>412</v>
      </c>
      <c r="P9" s="752" t="s">
        <v>411</v>
      </c>
      <c r="Q9" s="1531"/>
      <c r="R9" s="750" t="s">
        <v>426</v>
      </c>
      <c r="S9" s="839" t="s">
        <v>362</v>
      </c>
      <c r="T9" s="866" t="s">
        <v>359</v>
      </c>
      <c r="U9" s="750" t="s">
        <v>413</v>
      </c>
      <c r="V9" s="107"/>
      <c r="W9" s="132" t="s">
        <v>385</v>
      </c>
      <c r="X9" s="811" t="s">
        <v>386</v>
      </c>
      <c r="Y9" s="811" t="s">
        <v>387</v>
      </c>
      <c r="Z9" s="811" t="s">
        <v>388</v>
      </c>
      <c r="AA9" s="811" t="s">
        <v>389</v>
      </c>
      <c r="AB9" s="752" t="s">
        <v>295</v>
      </c>
      <c r="AC9" s="1567"/>
      <c r="AD9" s="132" t="s">
        <v>296</v>
      </c>
      <c r="AE9" s="752" t="s">
        <v>297</v>
      </c>
      <c r="AF9" s="43" t="s">
        <v>298</v>
      </c>
      <c r="AG9" s="43" t="s">
        <v>364</v>
      </c>
      <c r="AH9" s="50" t="s">
        <v>299</v>
      </c>
      <c r="AI9" s="50" t="s">
        <v>300</v>
      </c>
      <c r="AJ9" s="101" t="s">
        <v>281</v>
      </c>
      <c r="AK9" s="33" t="s">
        <v>427</v>
      </c>
      <c r="AL9" s="108" t="s">
        <v>301</v>
      </c>
      <c r="AM9" s="108" t="s">
        <v>302</v>
      </c>
      <c r="AN9" s="109"/>
      <c r="AO9" s="108" t="s">
        <v>304</v>
      </c>
      <c r="AP9" s="109"/>
      <c r="AQ9" s="108" t="s">
        <v>301</v>
      </c>
      <c r="AR9" s="108" t="s">
        <v>302</v>
      </c>
      <c r="AZ9" s="811" t="s">
        <v>387</v>
      </c>
    </row>
    <row r="10" spans="2:52" ht="15" thickBot="1" x14ac:dyDescent="0.25">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 thickBot="1" x14ac:dyDescent="0.25">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 thickBot="1" x14ac:dyDescent="0.25">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 thickBot="1" x14ac:dyDescent="0.25">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 thickBot="1" x14ac:dyDescent="0.25">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 thickBot="1" x14ac:dyDescent="0.25">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 thickBot="1" x14ac:dyDescent="0.25">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 thickBot="1" x14ac:dyDescent="0.25">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 thickBot="1" x14ac:dyDescent="0.25">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 thickBot="1" x14ac:dyDescent="0.25">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 thickBot="1" x14ac:dyDescent="0.25">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 thickBot="1" x14ac:dyDescent="0.25">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 thickBot="1" x14ac:dyDescent="0.25">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 thickBot="1" x14ac:dyDescent="0.25">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 thickBot="1" x14ac:dyDescent="0.25">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 thickBot="1" x14ac:dyDescent="0.25">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 thickBot="1" x14ac:dyDescent="0.25">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 thickBot="1" x14ac:dyDescent="0.25">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 thickBot="1" x14ac:dyDescent="0.25">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 thickBot="1" x14ac:dyDescent="0.25">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 thickBot="1" x14ac:dyDescent="0.25">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 thickBot="1" x14ac:dyDescent="0.25">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 thickBot="1" x14ac:dyDescent="0.25">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 thickBot="1" x14ac:dyDescent="0.25">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 thickBot="1" x14ac:dyDescent="0.25">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 thickBot="1" x14ac:dyDescent="0.25">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 thickBot="1" x14ac:dyDescent="0.25">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 thickBot="1" x14ac:dyDescent="0.25">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 thickBot="1" x14ac:dyDescent="0.25">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 thickBot="1" x14ac:dyDescent="0.25">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 thickBot="1" x14ac:dyDescent="0.25">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 thickBot="1" x14ac:dyDescent="0.25">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 thickBot="1" x14ac:dyDescent="0.25">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 thickBot="1" x14ac:dyDescent="0.25">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 thickBot="1" x14ac:dyDescent="0.25">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 thickBot="1" x14ac:dyDescent="0.25">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 thickBot="1" x14ac:dyDescent="0.25">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 thickBot="1" x14ac:dyDescent="0.25">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 thickBot="1" x14ac:dyDescent="0.25">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 thickBot="1" x14ac:dyDescent="0.25">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 thickBot="1" x14ac:dyDescent="0.25">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 thickBot="1" x14ac:dyDescent="0.25">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 thickBot="1" x14ac:dyDescent="0.25">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 thickBot="1" x14ac:dyDescent="0.25">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 thickBot="1" x14ac:dyDescent="0.25">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 thickBot="1" x14ac:dyDescent="0.25">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 thickBot="1" x14ac:dyDescent="0.25">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 thickBot="1" x14ac:dyDescent="0.25">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 thickBot="1" x14ac:dyDescent="0.25">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 thickBot="1" x14ac:dyDescent="0.25">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 thickBot="1" x14ac:dyDescent="0.25">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 thickBot="1" x14ac:dyDescent="0.25">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 thickBot="1" x14ac:dyDescent="0.25">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 thickBot="1" x14ac:dyDescent="0.25">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 thickBot="1" x14ac:dyDescent="0.25">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 thickBot="1" x14ac:dyDescent="0.25">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 thickBot="1" x14ac:dyDescent="0.25">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 thickBot="1" x14ac:dyDescent="0.25">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 thickBot="1" x14ac:dyDescent="0.25">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 thickBot="1" x14ac:dyDescent="0.25">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 thickBot="1" x14ac:dyDescent="0.25">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 thickBot="1" x14ac:dyDescent="0.25">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 thickBot="1" x14ac:dyDescent="0.25">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 thickBot="1" x14ac:dyDescent="0.25">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 thickBot="1" x14ac:dyDescent="0.25">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 thickBot="1" x14ac:dyDescent="0.25">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 thickBot="1" x14ac:dyDescent="0.25">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 thickBot="1" x14ac:dyDescent="0.25">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 thickBot="1" x14ac:dyDescent="0.25">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 thickBot="1" x14ac:dyDescent="0.25">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 thickBot="1" x14ac:dyDescent="0.25">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 thickBot="1" x14ac:dyDescent="0.25">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 thickBot="1" x14ac:dyDescent="0.25">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 thickBot="1" x14ac:dyDescent="0.25">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 thickBot="1" x14ac:dyDescent="0.25">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 thickBot="1" x14ac:dyDescent="0.25">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 thickBot="1" x14ac:dyDescent="0.25">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 thickBot="1" x14ac:dyDescent="0.25">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 thickBot="1" x14ac:dyDescent="0.25">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 thickBot="1" x14ac:dyDescent="0.25">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 thickBot="1" x14ac:dyDescent="0.25">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 thickBot="1" x14ac:dyDescent="0.25">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 thickBot="1" x14ac:dyDescent="0.25">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 thickBot="1" x14ac:dyDescent="0.25">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 thickBot="1" x14ac:dyDescent="0.25">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 thickBot="1" x14ac:dyDescent="0.25">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 thickBot="1" x14ac:dyDescent="0.25">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 thickBot="1" x14ac:dyDescent="0.25">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 thickBot="1" x14ac:dyDescent="0.25">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 thickBot="1" x14ac:dyDescent="0.25">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 thickBot="1" x14ac:dyDescent="0.25">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 thickBot="1" x14ac:dyDescent="0.25">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 thickBot="1" x14ac:dyDescent="0.25">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 thickBot="1" x14ac:dyDescent="0.25">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 thickBot="1" x14ac:dyDescent="0.25">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 thickBot="1" x14ac:dyDescent="0.25">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 thickBot="1" x14ac:dyDescent="0.25">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 thickBot="1" x14ac:dyDescent="0.25">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 thickBot="1" x14ac:dyDescent="0.25">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 thickBot="1" x14ac:dyDescent="0.25">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 thickBot="1" x14ac:dyDescent="0.25">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 thickBot="1" x14ac:dyDescent="0.25">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 thickBot="1" x14ac:dyDescent="0.25">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 thickBot="1" x14ac:dyDescent="0.25">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 thickBot="1" x14ac:dyDescent="0.25">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 thickBot="1" x14ac:dyDescent="0.25">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 thickBot="1" x14ac:dyDescent="0.25">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 thickBot="1" x14ac:dyDescent="0.25">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 thickBot="1" x14ac:dyDescent="0.25">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 thickBot="1" x14ac:dyDescent="0.25">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 thickBot="1" x14ac:dyDescent="0.25">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 thickBot="1" x14ac:dyDescent="0.25">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 thickBot="1" x14ac:dyDescent="0.25">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 thickBot="1" x14ac:dyDescent="0.25">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 thickBot="1" x14ac:dyDescent="0.25">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 thickBot="1" x14ac:dyDescent="0.25">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 thickBot="1" x14ac:dyDescent="0.25">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 thickBot="1" x14ac:dyDescent="0.25">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 thickBot="1" x14ac:dyDescent="0.25">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 thickBot="1" x14ac:dyDescent="0.25">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 thickBot="1" x14ac:dyDescent="0.25">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 thickBot="1" x14ac:dyDescent="0.25">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 thickBot="1" x14ac:dyDescent="0.25">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 thickBot="1" x14ac:dyDescent="0.25">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 thickBot="1" x14ac:dyDescent="0.25">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 thickBot="1" x14ac:dyDescent="0.25">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 thickBot="1" x14ac:dyDescent="0.25">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 thickBot="1" x14ac:dyDescent="0.25">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 thickBot="1" x14ac:dyDescent="0.25">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 thickBot="1" x14ac:dyDescent="0.25">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 thickBot="1" x14ac:dyDescent="0.25">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 thickBot="1" x14ac:dyDescent="0.25">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 thickBot="1" x14ac:dyDescent="0.25">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 thickBot="1" x14ac:dyDescent="0.25">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 thickBot="1" x14ac:dyDescent="0.25">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 thickBot="1" x14ac:dyDescent="0.25">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 thickBot="1" x14ac:dyDescent="0.25">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 thickBot="1" x14ac:dyDescent="0.25">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 thickBot="1" x14ac:dyDescent="0.25">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 thickBot="1" x14ac:dyDescent="0.25">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 thickBot="1" x14ac:dyDescent="0.25">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 thickBot="1" x14ac:dyDescent="0.25">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 thickBot="1" x14ac:dyDescent="0.25">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 thickBot="1" x14ac:dyDescent="0.25">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 thickBot="1" x14ac:dyDescent="0.25">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 thickBot="1" x14ac:dyDescent="0.25">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 thickBot="1" x14ac:dyDescent="0.25">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 thickBot="1" x14ac:dyDescent="0.25">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 thickBot="1" x14ac:dyDescent="0.25">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 thickBot="1" x14ac:dyDescent="0.25">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 thickBot="1" x14ac:dyDescent="0.25">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 thickBot="1" x14ac:dyDescent="0.25">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 thickBot="1" x14ac:dyDescent="0.25">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 thickBot="1" x14ac:dyDescent="0.25">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 thickBot="1" x14ac:dyDescent="0.25">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 thickBot="1" x14ac:dyDescent="0.25">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 thickBot="1" x14ac:dyDescent="0.25">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 thickBot="1" x14ac:dyDescent="0.25">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 thickBot="1" x14ac:dyDescent="0.25">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 thickBot="1" x14ac:dyDescent="0.25">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 thickBot="1" x14ac:dyDescent="0.25">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 thickBot="1" x14ac:dyDescent="0.25">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 thickBot="1" x14ac:dyDescent="0.25">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 thickBot="1" x14ac:dyDescent="0.25">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 thickBot="1" x14ac:dyDescent="0.25">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 thickBot="1" x14ac:dyDescent="0.25">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 thickBot="1" x14ac:dyDescent="0.25">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 thickBot="1" x14ac:dyDescent="0.25">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 thickBot="1" x14ac:dyDescent="0.25">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 thickBot="1" x14ac:dyDescent="0.25">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 thickBot="1" x14ac:dyDescent="0.25">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 thickBot="1" x14ac:dyDescent="0.25">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 thickBot="1" x14ac:dyDescent="0.25">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 thickBot="1" x14ac:dyDescent="0.25">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 thickBot="1" x14ac:dyDescent="0.25">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 thickBot="1" x14ac:dyDescent="0.25">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 thickBot="1" x14ac:dyDescent="0.25">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 thickBot="1" x14ac:dyDescent="0.25">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 thickBot="1" x14ac:dyDescent="0.25">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 thickBot="1" x14ac:dyDescent="0.25">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 thickBot="1" x14ac:dyDescent="0.25">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 thickBot="1" x14ac:dyDescent="0.25">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 thickBot="1" x14ac:dyDescent="0.25">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 thickBot="1" x14ac:dyDescent="0.25">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 thickBot="1" x14ac:dyDescent="0.25">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 thickBot="1" x14ac:dyDescent="0.25">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 thickBot="1" x14ac:dyDescent="0.25">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 thickBot="1" x14ac:dyDescent="0.25">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 thickBot="1" x14ac:dyDescent="0.25">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 thickBot="1" x14ac:dyDescent="0.25">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 thickBot="1" x14ac:dyDescent="0.25">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 thickBot="1" x14ac:dyDescent="0.25">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 thickBot="1" x14ac:dyDescent="0.25">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 thickBot="1" x14ac:dyDescent="0.25">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 thickBot="1" x14ac:dyDescent="0.25">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 thickBot="1" x14ac:dyDescent="0.25">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 thickBot="1" x14ac:dyDescent="0.25">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 thickBot="1" x14ac:dyDescent="0.25">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 thickBot="1" x14ac:dyDescent="0.25">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 thickBot="1" x14ac:dyDescent="0.25">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 thickBot="1" x14ac:dyDescent="0.25">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 thickBot="1" x14ac:dyDescent="0.25">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 thickBot="1" x14ac:dyDescent="0.25">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 thickBot="1" x14ac:dyDescent="0.25">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 thickBot="1" x14ac:dyDescent="0.25">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 thickBot="1" x14ac:dyDescent="0.25">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 thickBot="1" x14ac:dyDescent="0.25">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 thickBot="1" x14ac:dyDescent="0.25">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 thickBot="1" x14ac:dyDescent="0.25">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 thickBot="1" x14ac:dyDescent="0.25">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 thickBot="1" x14ac:dyDescent="0.25">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 thickBot="1" x14ac:dyDescent="0.25">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 thickBot="1" x14ac:dyDescent="0.25">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 thickBot="1" x14ac:dyDescent="0.25">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 thickBot="1" x14ac:dyDescent="0.25">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 thickBot="1" x14ac:dyDescent="0.25">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 thickBot="1" x14ac:dyDescent="0.25">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 thickBot="1" x14ac:dyDescent="0.25">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 thickBot="1" x14ac:dyDescent="0.25">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 thickBot="1" x14ac:dyDescent="0.25">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 thickBot="1" x14ac:dyDescent="0.25">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 thickBot="1" x14ac:dyDescent="0.25">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 thickBot="1" x14ac:dyDescent="0.25">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 thickBot="1" x14ac:dyDescent="0.25">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 thickBot="1" x14ac:dyDescent="0.25">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 thickBot="1" x14ac:dyDescent="0.25">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 thickBot="1" x14ac:dyDescent="0.25">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 thickBot="1" x14ac:dyDescent="0.25">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 thickBot="1" x14ac:dyDescent="0.25">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 thickBot="1" x14ac:dyDescent="0.25">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 thickBot="1" x14ac:dyDescent="0.25">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 thickBot="1" x14ac:dyDescent="0.25">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 thickBot="1" x14ac:dyDescent="0.25">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 thickBot="1" x14ac:dyDescent="0.25">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 thickBot="1" x14ac:dyDescent="0.25">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 thickBot="1" x14ac:dyDescent="0.25">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 thickBot="1" x14ac:dyDescent="0.25">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 thickBot="1" x14ac:dyDescent="0.25">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 thickBot="1" x14ac:dyDescent="0.25">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 thickBot="1" x14ac:dyDescent="0.25">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 thickBot="1" x14ac:dyDescent="0.25">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 thickBot="1" x14ac:dyDescent="0.25">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 thickBot="1" x14ac:dyDescent="0.25">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 thickBot="1" x14ac:dyDescent="0.25">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 thickBot="1" x14ac:dyDescent="0.25">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 thickBot="1" x14ac:dyDescent="0.25">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 thickBot="1" x14ac:dyDescent="0.25">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 thickBot="1" x14ac:dyDescent="0.25">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x14ac:dyDescent="0.25">
      <c r="B258" s="30"/>
      <c r="C258" s="30"/>
      <c r="D258" s="859"/>
      <c r="E258" s="412">
        <f>IF('Detailed Results'!K164&gt;0,"Error ▲",SUM(E10:E257))</f>
        <v>0</v>
      </c>
      <c r="P258" s="1527"/>
      <c r="Q258" s="1527"/>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4.25" x14ac:dyDescent="0.2">
      <c r="B259" s="30"/>
      <c r="C259" s="30"/>
      <c r="V259" s="133"/>
      <c r="W259" s="133"/>
      <c r="X259" s="133"/>
      <c r="Y259" s="133"/>
      <c r="Z259" s="133"/>
      <c r="AA259" s="133"/>
      <c r="AB259" s="133"/>
      <c r="AC259" s="133"/>
      <c r="AZ259" s="133"/>
    </row>
    <row r="260" spans="2:52" ht="14.25" x14ac:dyDescent="0.2"/>
    <row r="261" spans="2:52" ht="14.25" x14ac:dyDescent="0.2"/>
    <row r="262" spans="2:52" ht="14.25" x14ac:dyDescent="0.2"/>
    <row r="263" spans="2:52" ht="14.25" x14ac:dyDescent="0.2"/>
    <row r="264" spans="2:52" ht="14.25" x14ac:dyDescent="0.2"/>
    <row r="265" spans="2:52" ht="14.25" x14ac:dyDescent="0.2"/>
    <row r="266" spans="2:52" ht="14.25" x14ac:dyDescent="0.2"/>
    <row r="267" spans="2:52" ht="14.25" x14ac:dyDescent="0.2"/>
    <row r="268" spans="2:52" ht="14.25" x14ac:dyDescent="0.2"/>
    <row r="269" spans="2:52" ht="14.25" x14ac:dyDescent="0.2"/>
    <row r="270" spans="2:52" ht="14.25" x14ac:dyDescent="0.2"/>
    <row r="271" spans="2:52" ht="14.25" x14ac:dyDescent="0.2"/>
    <row r="272" spans="2:52" ht="14.25" x14ac:dyDescent="0.2"/>
  </sheetData>
  <sheetProtection algorithmName="SHA-512" hashValue="xXjXd2AsPdSKH6dTVr+3BUJfxOcqt9Xen7F15wUblpB6puMUb3sYMtZhmREKa8uSEsaXJRWwBUhC8cYbwdbVVA==" saltValue="U+G+lx19u9bpxj81vfsDo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E258">
    <cfRule type="containsText" dxfId="88" priority="24" operator="containsText" text="▲">
      <formula>NOT(ISERROR(SEARCH("▲",E258)))</formula>
    </cfRule>
  </conditionalFormatting>
  <conditionalFormatting sqref="I10:I257">
    <cfRule type="containsText" dxfId="87" priority="42" operator="containsText" text="Not possible">
      <formula>NOT(ISERROR(SEARCH("Not possible",I10)))</formula>
    </cfRule>
  </conditionalFormatting>
  <conditionalFormatting sqref="K3:K4">
    <cfRule type="containsText" dxfId="86" priority="38" operator="containsText" text="Check">
      <formula>NOT(ISERROR(SEARCH("Check",K3)))</formula>
    </cfRule>
    <cfRule type="containsText" dxfId="85" priority="37" operator="containsText" text="Error">
      <formula>NOT(ISERROR(SEARCH("Error",K3)))</formula>
    </cfRule>
  </conditionalFormatting>
  <conditionalFormatting sqref="K5">
    <cfRule type="containsText" dxfId="84" priority="65" operator="containsText" text="Yes">
      <formula>NOT(ISERROR(SEARCH("Yes",K5)))</formula>
    </cfRule>
    <cfRule type="containsText" dxfId="83" priority="64" operator="containsText" text="No">
      <formula>NOT(ISERROR(SEARCH("No",K5)))</formula>
    </cfRule>
  </conditionalFormatting>
  <conditionalFormatting sqref="K4:M4">
    <cfRule type="cellIs" dxfId="81" priority="36" operator="equal">
      <formula>0</formula>
    </cfRule>
    <cfRule type="cellIs" dxfId="79" priority="39" operator="lessThan">
      <formula>0</formula>
    </cfRule>
  </conditionalFormatting>
  <conditionalFormatting sqref="K10:Q257">
    <cfRule type="containsText" dxfId="78" priority="80" operator="containsText" text="Spatial">
      <formula>NOT(ISERROR(SEARCH("Spatial",K10)))</formula>
    </cfRule>
  </conditionalFormatting>
  <conditionalFormatting sqref="O2:V4">
    <cfRule type="containsText" dxfId="77" priority="66" operator="containsText" text="Check">
      <formula>NOT(ISERROR(SEARCH("Check",O2)))</formula>
    </cfRule>
  </conditionalFormatting>
  <conditionalFormatting sqref="Q10:Q257">
    <cfRule type="containsText" dxfId="76" priority="31" operator="containsText" text="Bespoke">
      <formula>NOT(ISERROR(SEARCH("Bespoke",Q10)))</formula>
    </cfRule>
    <cfRule type="containsText" dxfId="75" priority="79" operator="containsText" text="Restore">
      <formula>NOT(ISERROR(SEARCH("Restore",Q10)))</formula>
    </cfRule>
  </conditionalFormatting>
  <conditionalFormatting sqref="S10:S257">
    <cfRule type="containsText" dxfId="74" priority="62" operator="containsText" text="Existing Value Not Required">
      <formula>NOT(ISERROR(SEARCH("Existing Value Not Required",S10)))</formula>
    </cfRule>
    <cfRule type="containsText" dxfId="73" priority="63" operator="containsText" text="Existing Value Required">
      <formula>NOT(ISERROR(SEARCH("Existing Value Required",S10)))</formula>
    </cfRule>
  </conditionalFormatting>
  <conditionalFormatting sqref="S10:T257">
    <cfRule type="containsText" dxfId="72" priority="58" operator="containsText" text="Check">
      <formula>NOT(ISERROR(SEARCH("Check",S10)))</formula>
    </cfRule>
    <cfRule type="containsText" dxfId="71" priority="59" operator="containsText" text="Error">
      <formula>NOT(ISERROR(SEARCH("Error",S10)))</formula>
    </cfRule>
  </conditionalFormatting>
  <conditionalFormatting sqref="T10:T257">
    <cfRule type="containsText" dxfId="70" priority="57" operator="containsText" text="Spatial">
      <formula>NOT(ISERROR(SEARCH("Spatial",T10)))</formula>
    </cfRule>
  </conditionalFormatting>
  <conditionalFormatting sqref="U10:U257">
    <cfRule type="containsText" dxfId="69" priority="30" operator="containsText" text="⚠">
      <formula>NOT(ISERROR(SEARCH("⚠",U10)))</formula>
    </cfRule>
  </conditionalFormatting>
  <conditionalFormatting sqref="U258">
    <cfRule type="containsText" dxfId="68" priority="25" operator="containsText" text="▲">
      <formula>NOT(ISERROR(SEARCH("▲",U258)))</formula>
    </cfRule>
  </conditionalFormatting>
  <conditionalFormatting sqref="W4 V5">
    <cfRule type="containsText" dxfId="67" priority="73" operator="containsText" text="Check">
      <formula>NOT(ISERROR(SEARCH("Check",V4)))</formula>
    </cfRule>
  </conditionalFormatting>
  <conditionalFormatting sqref="W258:AB258">
    <cfRule type="containsText" dxfId="66" priority="26" operator="containsText" text="▲">
      <formula>NOT(ISERROR(SEARCH("▲",W258)))</formula>
    </cfRule>
  </conditionalFormatting>
  <conditionalFormatting sqref="Y10:Y257">
    <cfRule type="containsText" dxfId="64" priority="40" operator="containsText" text="Error">
      <formula>NOT(ISERROR(SEARCH("Error",Y10)))</formula>
    </cfRule>
  </conditionalFormatting>
  <conditionalFormatting sqref="Y258:Z258">
    <cfRule type="containsText" dxfId="63" priority="41" operator="containsText" text="Error">
      <formula>NOT(ISERROR(SEARCH("Error",Y258)))</formula>
    </cfRule>
  </conditionalFormatting>
  <conditionalFormatting sqref="AA10:AA257">
    <cfRule type="containsText" dxfId="62" priority="29" operator="containsText" text="⚠">
      <formula>NOT(ISERROR(SEARCH("⚠",AA10)))</formula>
    </cfRule>
    <cfRule type="containsText" dxfId="61" priority="76" operator="containsText" text="Error">
      <formula>NOT(ISERROR(SEARCH("Error",AA10)))</formula>
    </cfRule>
  </conditionalFormatting>
  <conditionalFormatting sqref="AB1:AB1048576">
    <cfRule type="containsText" dxfId="60" priority="32" operator="containsText" text="✓">
      <formula>NOT(ISERROR(SEARCH("✓",AB1)))</formula>
    </cfRule>
    <cfRule type="containsText" dxfId="59" priority="33" operator="containsText" text="▲">
      <formula>NOT(ISERROR(SEARCH("▲",AB1)))</formula>
    </cfRule>
  </conditionalFormatting>
  <conditionalFormatting sqref="AB10:AC258">
    <cfRule type="containsText" dxfId="58" priority="74" operator="containsText" text="Check">
      <formula>NOT(ISERROR(SEARCH("Check",AB10)))</formula>
    </cfRule>
    <cfRule type="containsText" dxfId="57" priority="75" operator="containsText" text="Error">
      <formula>NOT(ISERROR(SEARCH("Error",AB10)))</formula>
    </cfRule>
  </conditionalFormatting>
  <conditionalFormatting sqref="AC1:AC1048576">
    <cfRule type="containsText" dxfId="56" priority="35" operator="containsText" text="No">
      <formula>NOT(ISERROR(SEARCH("No",AC1)))</formula>
    </cfRule>
    <cfRule type="containsText" dxfId="55" priority="34" operator="containsText" text="Yes">
      <formula>NOT(ISERROR(SEARCH("Yes",AC1)))</formula>
    </cfRule>
  </conditionalFormatting>
  <conditionalFormatting sqref="AH10:AH257">
    <cfRule type="cellIs" dxfId="54" priority="5" operator="equal">
      <formula>0</formula>
    </cfRule>
  </conditionalFormatting>
  <conditionalFormatting sqref="AH10:AI257">
    <cfRule type="cellIs" dxfId="53" priority="6" operator="equal">
      <formula>"None"</formula>
    </cfRule>
    <cfRule type="cellIs" dxfId="52" priority="7" operator="equal">
      <formula>""</formula>
    </cfRule>
    <cfRule type="cellIs" dxfId="51" priority="10" operator="greaterThan">
      <formula>0</formula>
    </cfRule>
  </conditionalFormatting>
  <conditionalFormatting sqref="AZ10:AZ258">
    <cfRule type="containsText" dxfId="50" priority="3" operator="containsText" text="Error">
      <formula>NOT(ISERROR(SEARCH("Error",AZ10)))</formula>
    </cfRule>
  </conditionalFormatting>
  <conditionalFormatting sqref="AZ258">
    <cfRule type="containsText" dxfId="48" priority="1" operator="containsText" text="▲">
      <formula>NOT(ISERROR(SEARCH("▲",AZ258)))</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0" operator="lessThan" id="{B0CC3A41-3BA3-464F-80F6-EA546015E284}">
            <xm:f>Start!$F$22</xm:f>
            <x14:dxf>
              <font>
                <color rgb="FF383745"/>
              </font>
              <fill>
                <patternFill>
                  <bgColor rgb="FFFFC000"/>
                </patternFill>
              </fill>
            </x14:dxf>
          </x14:cfRule>
          <x14:cfRule type="cellIs" priority="481"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8"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2"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
  <cols>
    <col min="1" max="1" width="2.85546875" style="30" customWidth="1"/>
    <col min="2" max="2" width="10.7109375" style="30" customWidth="1"/>
    <col min="3" max="3" width="47.140625" style="30" customWidth="1"/>
    <col min="4" max="4" width="10.42578125" style="30" customWidth="1"/>
    <col min="5" max="5" width="17.42578125" style="30" customWidth="1"/>
    <col min="6" max="6" width="13.140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85546875" style="30" customWidth="1"/>
    <col min="19" max="19" width="26.140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85546875" style="30" customWidth="1"/>
    <col min="27" max="27" width="12.7109375" style="30" hidden="1" customWidth="1"/>
    <col min="28" max="28" width="12" style="30" hidden="1" customWidth="1"/>
    <col min="29" max="29" width="17.28515625" style="30" customWidth="1"/>
    <col min="30" max="31" width="34.85546875" style="30" customWidth="1"/>
    <col min="32" max="32" width="12.5703125" style="30" customWidth="1"/>
    <col min="33" max="33" width="12" style="30" customWidth="1"/>
    <col min="34" max="35" width="8.85546875" style="30" customWidth="1"/>
    <col min="36" max="36" width="8.85546875" style="30" hidden="1" customWidth="1"/>
    <col min="37" max="37" width="5.85546875" style="30" hidden="1" customWidth="1"/>
    <col min="38" max="38" width="15.42578125" style="30" hidden="1" customWidth="1"/>
    <col min="39" max="16384" width="8.85546875" style="30" hidden="1"/>
  </cols>
  <sheetData>
    <row r="1" spans="2:38" ht="15" thickBot="1" x14ac:dyDescent="0.25"/>
    <row r="2" spans="2:38" ht="18.600000000000001" customHeight="1" thickBot="1" x14ac:dyDescent="0.25">
      <c r="B2" s="1597" t="str">
        <f>CONCATENATE("Project Name:", " ", Start!F12, "     ", "Map Reference:", " ", Start!K66)</f>
        <v xml:space="preserve">Project Name: Botley West Solar Farm     Map Reference: </v>
      </c>
      <c r="C2" s="1600"/>
      <c r="D2" s="1598"/>
      <c r="F2" s="1592" t="s">
        <v>405</v>
      </c>
      <c r="G2" s="1604"/>
      <c r="H2" s="1604"/>
      <c r="I2" s="1604"/>
      <c r="J2" s="1604"/>
      <c r="K2" s="1604"/>
      <c r="L2" s="1604"/>
      <c r="M2" s="1604"/>
      <c r="N2" s="1604"/>
      <c r="O2" s="1593"/>
      <c r="P2" s="1460" t="str">
        <f>IF(OR(COUNTIF(L$12:$L259,"*30+*")&gt;0,COUNTIF(P$12:$P259,"*30+*")&gt;0),"Note; Habitat selected has a time to target condition greater than 30 years. Non standard agreement may be required.","")</f>
        <v/>
      </c>
      <c r="Q2" s="1460"/>
      <c r="R2" s="1460"/>
      <c r="S2" s="1460"/>
      <c r="T2" s="1460"/>
      <c r="U2" s="1460"/>
      <c r="V2" s="1610" t="str" cm="1">
        <f t="array" ref="V2">IF(OR(G12:G259 = "Fairly Good", G12:G259 = "Fairly Poor"),"A 'Fairly' Category has been used - check evidence to ensure this is appropriate ⚠", "")</f>
        <v/>
      </c>
      <c r="W2" s="1610"/>
      <c r="X2" s="1610"/>
      <c r="Y2" s="1610"/>
      <c r="Z2" s="1610"/>
      <c r="AA2" s="1610"/>
      <c r="AB2" s="1610"/>
      <c r="AC2" s="550"/>
    </row>
    <row r="3" spans="2:38" ht="15.6" customHeight="1" thickBot="1" x14ac:dyDescent="0.25">
      <c r="B3" s="1554" t="str">
        <f ca="1">MID(CELL("filename",A1),FIND("]",CELL("filename",A1))+1,256)</f>
        <v>F-2 Off-Site WaterC' Creation</v>
      </c>
      <c r="C3" s="1555"/>
      <c r="D3" s="1556"/>
      <c r="F3" s="1502" t="s">
        <v>264</v>
      </c>
      <c r="G3" s="1503"/>
      <c r="H3" s="1503"/>
      <c r="I3" s="1503"/>
      <c r="J3" s="1503"/>
      <c r="K3" s="1503"/>
      <c r="L3" s="1498">
        <f>'Headline Results'!H49</f>
        <v>43.946329363163812</v>
      </c>
      <c r="M3" s="1498"/>
      <c r="N3" s="1498"/>
      <c r="O3" s="1499"/>
      <c r="P3" s="1460"/>
      <c r="Q3" s="1460"/>
      <c r="R3" s="1460"/>
      <c r="S3" s="1460"/>
      <c r="T3" s="1460"/>
      <c r="U3" s="1460"/>
      <c r="V3" s="1610"/>
      <c r="W3" s="1610"/>
      <c r="X3" s="1610"/>
      <c r="Y3" s="1610"/>
      <c r="Z3" s="1610"/>
      <c r="AA3" s="1610"/>
      <c r="AB3" s="1610"/>
      <c r="AC3" s="550"/>
    </row>
    <row r="4" spans="2:38" ht="16.5" customHeight="1" thickBot="1" x14ac:dyDescent="0.25">
      <c r="B4" s="1554"/>
      <c r="C4" s="1555"/>
      <c r="D4" s="1556"/>
      <c r="F4" s="1580" t="s">
        <v>266</v>
      </c>
      <c r="G4" s="1581"/>
      <c r="H4" s="1581"/>
      <c r="I4" s="1581"/>
      <c r="J4" s="1581"/>
      <c r="K4" s="1581"/>
      <c r="L4" s="1574">
        <f>'Headline Results'!H53</f>
        <v>0.27744408214444821</v>
      </c>
      <c r="M4" s="1574"/>
      <c r="N4" s="1574"/>
      <c r="O4" s="1575"/>
      <c r="P4" s="1460"/>
      <c r="Q4" s="1460"/>
      <c r="R4" s="1460"/>
      <c r="S4" s="1460"/>
      <c r="T4" s="1460"/>
      <c r="U4" s="1460"/>
      <c r="V4" s="1610"/>
      <c r="W4" s="1610"/>
      <c r="X4" s="1610"/>
      <c r="Y4" s="1610"/>
      <c r="Z4" s="1610"/>
      <c r="AA4" s="1610"/>
      <c r="AB4" s="1610"/>
      <c r="AC4" s="550"/>
    </row>
    <row r="5" spans="2:38" ht="26.45" customHeight="1" thickBot="1" x14ac:dyDescent="0.25">
      <c r="F5" s="1579" t="s">
        <v>268</v>
      </c>
      <c r="G5" s="1576"/>
      <c r="H5" s="1576"/>
      <c r="I5" s="1576"/>
      <c r="J5" s="1576"/>
      <c r="K5" s="1576"/>
      <c r="L5" s="1576" t="str" cm="1">
        <f t="array" ref="L5">IF(OR('Trading Summary WaterC''s'!G5:H8="No ▲"), "No - check trading summary ▲", "Yes ✓")</f>
        <v>Yes ✓</v>
      </c>
      <c r="M5" s="1576"/>
      <c r="N5" s="1576"/>
      <c r="O5" s="1577"/>
      <c r="P5" s="1460"/>
      <c r="Q5" s="1460"/>
      <c r="R5" s="1460"/>
      <c r="S5" s="1460"/>
      <c r="T5" s="1460"/>
      <c r="U5" s="1460"/>
      <c r="V5" s="1610"/>
      <c r="W5" s="1610"/>
      <c r="X5" s="1610"/>
      <c r="Y5" s="1610"/>
      <c r="Z5" s="1610"/>
      <c r="AA5" s="1610"/>
      <c r="AB5" s="1610"/>
      <c r="AC5" s="550"/>
    </row>
    <row r="6" spans="2:38" ht="23.25" customHeight="1" x14ac:dyDescent="0.2">
      <c r="D6" s="101"/>
      <c r="L6" s="312"/>
      <c r="M6" s="312"/>
      <c r="N6" s="312"/>
      <c r="O6" s="312"/>
      <c r="P6" s="1460"/>
      <c r="Q6" s="1460"/>
      <c r="R6" s="1460"/>
      <c r="S6" s="1460"/>
      <c r="T6" s="1460"/>
      <c r="U6" s="1460"/>
    </row>
    <row r="7" spans="2:38" ht="14.25" x14ac:dyDescent="0.2"/>
    <row r="8" spans="2:38" ht="14.25" x14ac:dyDescent="0.2"/>
    <row r="9" spans="2:38" ht="15.75" customHeight="1" thickBot="1" x14ac:dyDescent="0.25"/>
    <row r="10" spans="2:38" s="33" customFormat="1" ht="29.25" customHeight="1" thickBot="1" x14ac:dyDescent="0.25">
      <c r="B10" s="200"/>
      <c r="C10" s="1570" t="s">
        <v>390</v>
      </c>
      <c r="D10" s="1572"/>
      <c r="E10" s="1570" t="s">
        <v>270</v>
      </c>
      <c r="F10" s="1572"/>
      <c r="G10" s="1570" t="s">
        <v>271</v>
      </c>
      <c r="H10" s="1572"/>
      <c r="I10" s="1549" t="s">
        <v>272</v>
      </c>
      <c r="J10" s="1549"/>
      <c r="K10" s="1549"/>
      <c r="L10" s="1549" t="s">
        <v>315</v>
      </c>
      <c r="M10" s="1549"/>
      <c r="N10" s="1549"/>
      <c r="O10" s="1549"/>
      <c r="P10" s="1549"/>
      <c r="Q10" s="1549"/>
      <c r="R10" s="1570" t="s">
        <v>316</v>
      </c>
      <c r="S10" s="1571"/>
      <c r="T10" s="1571"/>
      <c r="U10" s="1572"/>
      <c r="V10" s="1549" t="s">
        <v>407</v>
      </c>
      <c r="W10" s="1549"/>
      <c r="X10" s="1549" t="s">
        <v>408</v>
      </c>
      <c r="Y10" s="1549"/>
      <c r="Z10" s="1549" t="s">
        <v>359</v>
      </c>
      <c r="AA10" s="1549"/>
      <c r="AB10" s="1531" t="s">
        <v>428</v>
      </c>
      <c r="AC10" s="1531" t="s">
        <v>419</v>
      </c>
      <c r="AD10" s="1312" t="s">
        <v>277</v>
      </c>
      <c r="AE10" s="1310"/>
    </row>
    <row r="11" spans="2:38" s="33" customFormat="1" ht="62.45" customHeight="1" thickBot="1" x14ac:dyDescent="0.25">
      <c r="B11" s="719" t="s">
        <v>340</v>
      </c>
      <c r="C11" s="132" t="s">
        <v>193</v>
      </c>
      <c r="D11" s="752" t="s">
        <v>429</v>
      </c>
      <c r="E11" s="132" t="s">
        <v>270</v>
      </c>
      <c r="F11" s="752" t="s">
        <v>287</v>
      </c>
      <c r="G11" s="132" t="s">
        <v>271</v>
      </c>
      <c r="H11" s="752" t="s">
        <v>287</v>
      </c>
      <c r="I11" s="132" t="s">
        <v>272</v>
      </c>
      <c r="J11" s="811" t="s">
        <v>272</v>
      </c>
      <c r="K11" s="752" t="s">
        <v>318</v>
      </c>
      <c r="L11" s="132" t="s">
        <v>393</v>
      </c>
      <c r="M11" s="811" t="s">
        <v>320</v>
      </c>
      <c r="N11" s="811" t="s">
        <v>321</v>
      </c>
      <c r="O11" s="811" t="s">
        <v>322</v>
      </c>
      <c r="P11" s="811" t="s">
        <v>430</v>
      </c>
      <c r="Q11" s="752" t="s">
        <v>431</v>
      </c>
      <c r="R11" s="132" t="s">
        <v>325</v>
      </c>
      <c r="S11" s="811" t="s">
        <v>326</v>
      </c>
      <c r="T11" s="811" t="s">
        <v>327</v>
      </c>
      <c r="U11" s="752" t="s">
        <v>328</v>
      </c>
      <c r="V11" s="132" t="s">
        <v>410</v>
      </c>
      <c r="W11" s="752" t="s">
        <v>411</v>
      </c>
      <c r="X11" s="132" t="s">
        <v>412</v>
      </c>
      <c r="Y11" s="752" t="s">
        <v>411</v>
      </c>
      <c r="Z11" s="132" t="s">
        <v>362</v>
      </c>
      <c r="AA11" s="752" t="s">
        <v>411</v>
      </c>
      <c r="AB11" s="1531"/>
      <c r="AC11" s="1531"/>
      <c r="AD11" s="126" t="s">
        <v>296</v>
      </c>
      <c r="AE11" s="861" t="s">
        <v>297</v>
      </c>
      <c r="AF11" s="682" t="s">
        <v>298</v>
      </c>
      <c r="AG11" s="682" t="s">
        <v>364</v>
      </c>
      <c r="AL11" s="210" t="s">
        <v>281</v>
      </c>
    </row>
    <row r="12" spans="2:38" ht="14.25" x14ac:dyDescent="0.2">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4.25" x14ac:dyDescent="0.2">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4.25" x14ac:dyDescent="0.2">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4.25" x14ac:dyDescent="0.2">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4.25" x14ac:dyDescent="0.2">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4.25" x14ac:dyDescent="0.2">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4.25" x14ac:dyDescent="0.2">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4.25" x14ac:dyDescent="0.2">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4.25" x14ac:dyDescent="0.2">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4.25" x14ac:dyDescent="0.2">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4.25" x14ac:dyDescent="0.2">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4.25" x14ac:dyDescent="0.2">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4.25" x14ac:dyDescent="0.2">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4.25" x14ac:dyDescent="0.2">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4.25" x14ac:dyDescent="0.2">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4.25" x14ac:dyDescent="0.2">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4.25" x14ac:dyDescent="0.2">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4.25" x14ac:dyDescent="0.2">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4.25" x14ac:dyDescent="0.2">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4.25" x14ac:dyDescent="0.2">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4.25" x14ac:dyDescent="0.2">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4.25" x14ac:dyDescent="0.2">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4.25" x14ac:dyDescent="0.2">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4.25" x14ac:dyDescent="0.2">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4.25" x14ac:dyDescent="0.2">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4.25" x14ac:dyDescent="0.2">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4.25" x14ac:dyDescent="0.2">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4.25" x14ac:dyDescent="0.2">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4.25" x14ac:dyDescent="0.2">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4.25" x14ac:dyDescent="0.2">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4.25" x14ac:dyDescent="0.2">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4.25" x14ac:dyDescent="0.2">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4.25" x14ac:dyDescent="0.2">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4.25" x14ac:dyDescent="0.2">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4.25" x14ac:dyDescent="0.2">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4.25" x14ac:dyDescent="0.2">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4.25" x14ac:dyDescent="0.2">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4.25" x14ac:dyDescent="0.2">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4.25" x14ac:dyDescent="0.2">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4.25" x14ac:dyDescent="0.2">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4.25" x14ac:dyDescent="0.2">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4.25" x14ac:dyDescent="0.2">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4.25" x14ac:dyDescent="0.2">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4.25" x14ac:dyDescent="0.2">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4.25" x14ac:dyDescent="0.2">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4.25" x14ac:dyDescent="0.2">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4.25" x14ac:dyDescent="0.2">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4.25" x14ac:dyDescent="0.2">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4.25" x14ac:dyDescent="0.2">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4.25" x14ac:dyDescent="0.2">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4.25" x14ac:dyDescent="0.2">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4.25" x14ac:dyDescent="0.2">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4.25" x14ac:dyDescent="0.2">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4.25" x14ac:dyDescent="0.2">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4.25" x14ac:dyDescent="0.2">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4.25" x14ac:dyDescent="0.2">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4.25" x14ac:dyDescent="0.2">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4.25" x14ac:dyDescent="0.2">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4.25" x14ac:dyDescent="0.2">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4.25" x14ac:dyDescent="0.2">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4.25" x14ac:dyDescent="0.2">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4.25" x14ac:dyDescent="0.2">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4.25" x14ac:dyDescent="0.2">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4.25" x14ac:dyDescent="0.2">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4.25" x14ac:dyDescent="0.2">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4.25" x14ac:dyDescent="0.2">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4.25" x14ac:dyDescent="0.2">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4.25" x14ac:dyDescent="0.2">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4.25" x14ac:dyDescent="0.2">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4.25" x14ac:dyDescent="0.2">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4.25" x14ac:dyDescent="0.2">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4.25" x14ac:dyDescent="0.2">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4.25" x14ac:dyDescent="0.2">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4.25" x14ac:dyDescent="0.2">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4.25" x14ac:dyDescent="0.2">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4.25" x14ac:dyDescent="0.2">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4.25" x14ac:dyDescent="0.2">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4.25" x14ac:dyDescent="0.2">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4.25" x14ac:dyDescent="0.2">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4.25" x14ac:dyDescent="0.2">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4.25" x14ac:dyDescent="0.2">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4.25" x14ac:dyDescent="0.2">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4.25" x14ac:dyDescent="0.2">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4.25" x14ac:dyDescent="0.2">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4.25" x14ac:dyDescent="0.2">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4.25" x14ac:dyDescent="0.2">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4.25" x14ac:dyDescent="0.2">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4.25" x14ac:dyDescent="0.2">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4.25" x14ac:dyDescent="0.2">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4.25" x14ac:dyDescent="0.2">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4.25" x14ac:dyDescent="0.2">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4.25" x14ac:dyDescent="0.2">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4.25" x14ac:dyDescent="0.2">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4.25" x14ac:dyDescent="0.2">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4.25" x14ac:dyDescent="0.2">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4.25" x14ac:dyDescent="0.2">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4.25" x14ac:dyDescent="0.2">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4.25" x14ac:dyDescent="0.2">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4.25" x14ac:dyDescent="0.2">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4.25" x14ac:dyDescent="0.2">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4.25" x14ac:dyDescent="0.2">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4.25" x14ac:dyDescent="0.2">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4.25" x14ac:dyDescent="0.2">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4.25" x14ac:dyDescent="0.2">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4.25" x14ac:dyDescent="0.2">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4.25" x14ac:dyDescent="0.2">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4.25" x14ac:dyDescent="0.2">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4.25" x14ac:dyDescent="0.2">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4.25" x14ac:dyDescent="0.2">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4.25" x14ac:dyDescent="0.2">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4.25" x14ac:dyDescent="0.2">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4.25" x14ac:dyDescent="0.2">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4.25" x14ac:dyDescent="0.2">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4.25" x14ac:dyDescent="0.2">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4.25" x14ac:dyDescent="0.2">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4.25" x14ac:dyDescent="0.2">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4.25" x14ac:dyDescent="0.2">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4.25" x14ac:dyDescent="0.2">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4.25" x14ac:dyDescent="0.2">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4.25" x14ac:dyDescent="0.2">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4.25" x14ac:dyDescent="0.2">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4.25" x14ac:dyDescent="0.2">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4.25" x14ac:dyDescent="0.2">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4.25" x14ac:dyDescent="0.2">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4.25" x14ac:dyDescent="0.2">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4.25" x14ac:dyDescent="0.2">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4.25" x14ac:dyDescent="0.2">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4.25" x14ac:dyDescent="0.2">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4.25" x14ac:dyDescent="0.2">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4.25" x14ac:dyDescent="0.2">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4.25" x14ac:dyDescent="0.2">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4.25" x14ac:dyDescent="0.2">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4.25" x14ac:dyDescent="0.2">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4.25" x14ac:dyDescent="0.2">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4.25" x14ac:dyDescent="0.2">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4.25" x14ac:dyDescent="0.2">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4.25" x14ac:dyDescent="0.2">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4.25" x14ac:dyDescent="0.2">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4.25" x14ac:dyDescent="0.2">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4.25" x14ac:dyDescent="0.2">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4.25" x14ac:dyDescent="0.2">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4.25" x14ac:dyDescent="0.2">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4.25" x14ac:dyDescent="0.2">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4.25" x14ac:dyDescent="0.2">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4.25" x14ac:dyDescent="0.2">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4.25" x14ac:dyDescent="0.2">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4.25" x14ac:dyDescent="0.2">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4.25" x14ac:dyDescent="0.2">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4.25" x14ac:dyDescent="0.2">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4.25" x14ac:dyDescent="0.2">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4.25" x14ac:dyDescent="0.2">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4.25" x14ac:dyDescent="0.2">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4.25" x14ac:dyDescent="0.2">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4.25" x14ac:dyDescent="0.2">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4.25" x14ac:dyDescent="0.2">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4.25" x14ac:dyDescent="0.2">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4.25" x14ac:dyDescent="0.2">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4.25" x14ac:dyDescent="0.2">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4.25" x14ac:dyDescent="0.2">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4.25" x14ac:dyDescent="0.2">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4.25" x14ac:dyDescent="0.2">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4.25" x14ac:dyDescent="0.2">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4.25" x14ac:dyDescent="0.2">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4.25" x14ac:dyDescent="0.2">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4.25" x14ac:dyDescent="0.2">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4.25" x14ac:dyDescent="0.2">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4.25" x14ac:dyDescent="0.2">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4.25" x14ac:dyDescent="0.2">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4.25" x14ac:dyDescent="0.2">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4.25" x14ac:dyDescent="0.2">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4.25" x14ac:dyDescent="0.2">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4.25" x14ac:dyDescent="0.2">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4.25" x14ac:dyDescent="0.2">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4.25" x14ac:dyDescent="0.2">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4.25" x14ac:dyDescent="0.2">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4.25" x14ac:dyDescent="0.2">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4.25" x14ac:dyDescent="0.2">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4.25" x14ac:dyDescent="0.2">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4.25" x14ac:dyDescent="0.2">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4.25" x14ac:dyDescent="0.2">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4.25" x14ac:dyDescent="0.2">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4.25" x14ac:dyDescent="0.2">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4.25" x14ac:dyDescent="0.2">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4.25" x14ac:dyDescent="0.2">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4.25" x14ac:dyDescent="0.2">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4.25" x14ac:dyDescent="0.2">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4.25" x14ac:dyDescent="0.2">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4.25" x14ac:dyDescent="0.2">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4.25" x14ac:dyDescent="0.2">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4.25" x14ac:dyDescent="0.2">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4.25" x14ac:dyDescent="0.2">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4.25" x14ac:dyDescent="0.2">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4.25" x14ac:dyDescent="0.2">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4.25" x14ac:dyDescent="0.2">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4.25" x14ac:dyDescent="0.2">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4.25" x14ac:dyDescent="0.2">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4.25" x14ac:dyDescent="0.2">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4.25" x14ac:dyDescent="0.2">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4.25" x14ac:dyDescent="0.2">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4.25" x14ac:dyDescent="0.2">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4.25" x14ac:dyDescent="0.2">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4.25" x14ac:dyDescent="0.2">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4.25" x14ac:dyDescent="0.2">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4.25" x14ac:dyDescent="0.2">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4.25" x14ac:dyDescent="0.2">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4.25" x14ac:dyDescent="0.2">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4.25" x14ac:dyDescent="0.2">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4.25" x14ac:dyDescent="0.2">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4.25" x14ac:dyDescent="0.2">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4.25" x14ac:dyDescent="0.2">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4.25" x14ac:dyDescent="0.2">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4.25" x14ac:dyDescent="0.2">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4.25" x14ac:dyDescent="0.2">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4.25" x14ac:dyDescent="0.2">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4.25" x14ac:dyDescent="0.2">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4.25" x14ac:dyDescent="0.2">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4.25" x14ac:dyDescent="0.2">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4.25" x14ac:dyDescent="0.2">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4.25" x14ac:dyDescent="0.2">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4.25" x14ac:dyDescent="0.2">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4.25" x14ac:dyDescent="0.2">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4.25" x14ac:dyDescent="0.2">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4.25" x14ac:dyDescent="0.2">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4.25" x14ac:dyDescent="0.2">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4.25" x14ac:dyDescent="0.2">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4.25" x14ac:dyDescent="0.2">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4.25" x14ac:dyDescent="0.2">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4.25" x14ac:dyDescent="0.2">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4.25" x14ac:dyDescent="0.2">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4.25" x14ac:dyDescent="0.2">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4.25" x14ac:dyDescent="0.2">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4.25" x14ac:dyDescent="0.2">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4.25" x14ac:dyDescent="0.2">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4.25" x14ac:dyDescent="0.2">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4.25" x14ac:dyDescent="0.2">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4.25" x14ac:dyDescent="0.2">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4.25" x14ac:dyDescent="0.2">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4.25" x14ac:dyDescent="0.2">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4.25" x14ac:dyDescent="0.2">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4.25" x14ac:dyDescent="0.2">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4.25" x14ac:dyDescent="0.2">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4.25" x14ac:dyDescent="0.2">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4.25" x14ac:dyDescent="0.2">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4.25" x14ac:dyDescent="0.2">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4.25" x14ac:dyDescent="0.2">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4.25" x14ac:dyDescent="0.2">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4.25" x14ac:dyDescent="0.2">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 thickBot="1" x14ac:dyDescent="0.25">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 thickBot="1" x14ac:dyDescent="0.25">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3"/>
      <c r="AA260" s="1614"/>
      <c r="AB260" s="366">
        <f>SUM(AB12:AB259)</f>
        <v>0</v>
      </c>
      <c r="AC260" s="366">
        <f>SUM(AC12:AC259)</f>
        <v>0</v>
      </c>
      <c r="AD260" s="34"/>
      <c r="AE260" s="34"/>
    </row>
    <row r="261" spans="2:38" ht="28.9" customHeight="1" x14ac:dyDescent="0.2"/>
    <row r="262" spans="2:38" ht="27" customHeight="1" x14ac:dyDescent="0.2"/>
    <row r="263" spans="2:38" ht="14.25" x14ac:dyDescent="0.2"/>
    <row r="264" spans="2:38" ht="14.25" x14ac:dyDescent="0.2"/>
    <row r="265" spans="2:38" ht="14.25" x14ac:dyDescent="0.2"/>
    <row r="266" spans="2:38" ht="14.25" x14ac:dyDescent="0.2"/>
    <row r="267" spans="2:38" ht="14.25" x14ac:dyDescent="0.2"/>
    <row r="268" spans="2:38" ht="14.25" x14ac:dyDescent="0.2"/>
    <row r="269" spans="2:38" ht="14.25" hidden="1" x14ac:dyDescent="0.2"/>
    <row r="270" spans="2:38" ht="14.25" hidden="1" x14ac:dyDescent="0.2"/>
    <row r="271" spans="2:38" ht="14.25" hidden="1" x14ac:dyDescent="0.2"/>
    <row r="272" spans="2:38" ht="14.25" hidden="1" x14ac:dyDescent="0.2"/>
    <row r="273" ht="14.25" hidden="1" x14ac:dyDescent="0.2"/>
    <row r="274" ht="14.25" hidden="1" x14ac:dyDescent="0.2"/>
    <row r="275" ht="14.25" hidden="1" x14ac:dyDescent="0.2"/>
    <row r="1048576" ht="14.25" x14ac:dyDescent="0.2"/>
  </sheetData>
  <sheetProtection algorithmName="SHA-512" hashValue="YopD/3JJPIce0PWVlfUNFwMDnjVEpmDgn17Vjk9Wn6VaxEn1dFOtGGuawkVCnx9f1ZF+4+jqAIILdZVNImg+cQ==" saltValue="esX4IOuO4OOYzlve07dpa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47" priority="22" operator="beginsWith" text="Not Possible">
      <formula>LEFT(H12,LEN("Not Possible"))="Not Possible"</formula>
    </cfRule>
  </conditionalFormatting>
  <conditionalFormatting sqref="J12:K259">
    <cfRule type="containsText" dxfId="46" priority="21" operator="containsText" text="Spatial">
      <formula>NOT(ISERROR(SEARCH("Spatial",J12)))</formula>
    </cfRule>
  </conditionalFormatting>
  <conditionalFormatting sqref="L3:L4">
    <cfRule type="containsText" dxfId="45" priority="2" operator="containsText" text="Error">
      <formula>NOT(ISERROR(SEARCH("Error",L3)))</formula>
    </cfRule>
    <cfRule type="containsText" dxfId="44" priority="3" operator="containsText" text="Check">
      <formula>NOT(ISERROR(SEARCH("Check",L3)))</formula>
    </cfRule>
  </conditionalFormatting>
  <conditionalFormatting sqref="L5">
    <cfRule type="containsText" dxfId="43" priority="7" operator="containsText" text="No">
      <formula>NOT(ISERROR(SEARCH("No",L5)))</formula>
    </cfRule>
    <cfRule type="containsText" dxfId="42" priority="8" operator="containsText" text="Yes">
      <formula>NOT(ISERROR(SEARCH("Yes",L5)))</formula>
    </cfRule>
  </conditionalFormatting>
  <conditionalFormatting sqref="L4:O4">
    <cfRule type="cellIs" dxfId="41" priority="1" operator="equal">
      <formula>0</formula>
    </cfRule>
    <cfRule type="cellIs" dxfId="40" priority="4" operator="lessThan">
      <formula>0</formula>
    </cfRule>
  </conditionalFormatting>
  <conditionalFormatting sqref="L12:Q259">
    <cfRule type="containsText" dxfId="37" priority="18" operator="containsText" text="30+">
      <formula>NOT(ISERROR(SEARCH("30+",L12)))</formula>
    </cfRule>
  </conditionalFormatting>
  <conditionalFormatting sqref="O12:AB259">
    <cfRule type="containsText" dxfId="36" priority="20" operator="containsText" text="Error">
      <formula>NOT(ISERROR(SEARCH("Error",O12)))</formula>
    </cfRule>
  </conditionalFormatting>
  <conditionalFormatting sqref="O12:AC259">
    <cfRule type="containsText" dxfId="35" priority="5" operator="containsText" text="Check">
      <formula>NOT(ISERROR(SEARCH("Check",O12)))</formula>
    </cfRule>
  </conditionalFormatting>
  <conditionalFormatting sqref="P2 L6:O6">
    <cfRule type="containsText" dxfId="34" priority="17" operator="containsText" text="Note">
      <formula>NOT(ISERROR(SEARCH("Note",L2)))</formula>
    </cfRule>
  </conditionalFormatting>
  <conditionalFormatting sqref="V2:AC5">
    <cfRule type="containsText" dxfId="33" priority="9" operator="containsText" text="Check">
      <formula>NOT(ISERROR(SEARCH("Check",V2)))</formula>
    </cfRule>
  </conditionalFormatting>
  <conditionalFormatting sqref="W12:Y259">
    <cfRule type="containsText" dxfId="32" priority="16" operator="containsText" text="Spatial">
      <formula>NOT(ISERROR(SEARCH("Spatial",W12)))</formula>
    </cfRule>
  </conditionalFormatting>
  <conditionalFormatting sqref="AC12:AC259">
    <cfRule type="containsText" dxfId="31" priority="6" operator="containsText" text="Error">
      <formula>NOT(ISERROR(SEARCH("Error",AC12)))</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1" operator="lessThan" id="{ACB35EB0-74C0-41D6-8DE8-9B58D5CE6B24}">
            <xm:f>Start!$F$22</xm:f>
            <x14:dxf>
              <font>
                <color rgb="FF383745"/>
              </font>
              <fill>
                <patternFill>
                  <bgColor rgb="FFFFC000"/>
                </patternFill>
              </fill>
            </x14:dxf>
          </x14:cfRule>
          <x14:cfRule type="cellIs" priority="452"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x14ac:dyDescent="0.5">
      <c r="B1" s="16"/>
      <c r="C1" s="16"/>
      <c r="E1" s="17"/>
      <c r="F1" s="978"/>
      <c r="G1" s="978"/>
      <c r="H1" s="978"/>
      <c r="I1" s="978"/>
      <c r="J1" s="978"/>
      <c r="K1" s="979"/>
      <c r="L1" s="979"/>
      <c r="M1" s="979"/>
      <c r="N1" s="979"/>
      <c r="O1" s="979"/>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980"/>
      <c r="H10" s="980"/>
      <c r="I10" s="980"/>
      <c r="J10" s="980"/>
      <c r="K10" s="980"/>
      <c r="L10" s="980"/>
      <c r="M10" s="980"/>
      <c r="N10" s="980"/>
      <c r="O10" s="980"/>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581025</xdr:colOff>
                <xdr:row>11</xdr:row>
                <xdr:rowOff>161925</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
  <cols>
    <col min="1" max="1" width="2.85546875" style="30" customWidth="1"/>
    <col min="2" max="2" width="14.140625" style="30" customWidth="1"/>
    <col min="3" max="3" width="51.140625" style="30" customWidth="1"/>
    <col min="4" max="4" width="10.42578125" style="30" customWidth="1"/>
    <col min="5" max="5" width="17.42578125" style="30" customWidth="1"/>
    <col min="6" max="6" width="17.5703125" style="30" customWidth="1"/>
    <col min="7" max="7" width="18.140625" style="30" customWidth="1"/>
    <col min="8" max="8" width="19.28515625" style="30" customWidth="1"/>
    <col min="9" max="9" width="34.5703125" style="30" customWidth="1"/>
    <col min="10" max="13" width="19.28515625" style="30" customWidth="1"/>
    <col min="14" max="14" width="56.85546875" style="30" customWidth="1"/>
    <col min="15" max="15" width="34.28515625" style="30" customWidth="1"/>
    <col min="16" max="16" width="45.7109375" style="30" customWidth="1"/>
    <col min="17" max="17" width="9.7109375" style="30" customWidth="1"/>
    <col min="18" max="18" width="18.28515625" style="30" customWidth="1"/>
    <col min="19" max="19" width="13.140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140625" style="30" customWidth="1"/>
    <col min="28" max="28" width="26.85546875" style="30" customWidth="1"/>
    <col min="29" max="29" width="18.42578125" style="30" customWidth="1"/>
    <col min="30" max="30" width="15.28515625" style="30" customWidth="1"/>
    <col min="31" max="31" width="17.7109375" style="30" customWidth="1"/>
    <col min="32" max="32" width="27.140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hidden="1" customWidth="1"/>
    <col min="41" max="41" width="11" style="30" hidden="1" customWidth="1"/>
    <col min="42" max="42" width="15.140625" style="30" customWidth="1"/>
    <col min="43" max="43" width="42.140625" style="30" customWidth="1"/>
    <col min="44" max="44" width="42.42578125" style="30" customWidth="1"/>
    <col min="45" max="46" width="13.42578125" style="30" customWidth="1"/>
    <col min="47" max="50" width="8.85546875" style="30" customWidth="1"/>
    <col min="51" max="51" width="8.85546875" style="30" hidden="1" customWidth="1"/>
    <col min="52" max="59" width="0" style="30" hidden="1" customWidth="1"/>
    <col min="60" max="16384" width="8.85546875" style="30" hidden="1"/>
  </cols>
  <sheetData>
    <row r="1" spans="2:51" ht="20.45" customHeight="1" thickBot="1" x14ac:dyDescent="0.25"/>
    <row r="2" spans="2:51" ht="27" customHeight="1" thickBot="1" x14ac:dyDescent="0.25">
      <c r="B2" s="1597" t="str">
        <f>CONCATENATE("Project Name:", " ", Start!F12, "     ", "Map Reference:", " ", Start!K66)</f>
        <v xml:space="preserve">Project Name: Botley West Solar Farm     Map Reference: </v>
      </c>
      <c r="C2" s="1598"/>
      <c r="R2" s="102"/>
      <c r="Y2" s="1460" t="str">
        <f>IF(OR(COUNTIF($Y$12:Y259,"*30+*")&gt;0,COUNTIF($AC$12:AC259,"*30+*")&gt;0),"Note; Habitat selected has a time to target condition greater than 30 years. Non standard agreement may be required. ⚠","")</f>
        <v/>
      </c>
      <c r="Z2" s="1460"/>
      <c r="AA2" s="1460"/>
      <c r="AB2" s="1460"/>
      <c r="AC2" s="1460"/>
      <c r="AD2" s="1460"/>
    </row>
    <row r="3" spans="2:51" ht="21" customHeight="1" thickBot="1" x14ac:dyDescent="0.3">
      <c r="B3" s="1618" t="str">
        <f ca="1">MID(CELL("filename",A1),FIND("]",CELL("filename",A1))+1,256)</f>
        <v>F-3 Off-Site WaterC Enhancement</v>
      </c>
      <c r="C3" s="1619"/>
      <c r="O3" s="1401" t="s">
        <v>405</v>
      </c>
      <c r="P3" s="1403"/>
      <c r="R3" s="1610" t="str" cm="1">
        <f t="array" ref="R3">IF(OR(T12:T257 = "Fairly Good", T12:T257 = "Fairly Poor"),"A 'Fairly' Category has been used - check evidence to ensure this is appropriate ⚠", "")</f>
        <v/>
      </c>
      <c r="S3" s="1610"/>
      <c r="T3" s="1610"/>
      <c r="U3" s="1610"/>
      <c r="V3" s="1610"/>
      <c r="W3" s="1610"/>
      <c r="X3" s="1610"/>
      <c r="Y3" s="1460"/>
      <c r="Z3" s="1460"/>
      <c r="AA3" s="1460"/>
      <c r="AB3" s="1460"/>
      <c r="AC3" s="1460"/>
      <c r="AD3" s="1460"/>
    </row>
    <row r="4" spans="2:51" ht="21" customHeight="1" thickBot="1" x14ac:dyDescent="0.25">
      <c r="B4" s="1620"/>
      <c r="C4" s="1621"/>
      <c r="O4" s="535" t="s">
        <v>264</v>
      </c>
      <c r="P4" s="512">
        <f>'Headline Results'!H49</f>
        <v>43.946329363163812</v>
      </c>
      <c r="R4" s="1610"/>
      <c r="S4" s="1610"/>
      <c r="T4" s="1610"/>
      <c r="U4" s="1610"/>
      <c r="V4" s="1610"/>
      <c r="W4" s="1610"/>
      <c r="X4" s="1610"/>
      <c r="Y4" s="1460"/>
      <c r="Z4" s="1460"/>
      <c r="AA4" s="1460"/>
      <c r="AB4" s="1460"/>
      <c r="AC4" s="1460"/>
      <c r="AD4" s="1460"/>
    </row>
    <row r="5" spans="2:51" ht="15.6" customHeight="1" x14ac:dyDescent="0.25">
      <c r="O5" s="506" t="s">
        <v>266</v>
      </c>
      <c r="P5" s="513">
        <f>'Headline Results'!H53</f>
        <v>0.27744408214444821</v>
      </c>
      <c r="Q5" s="30" t="s">
        <v>432</v>
      </c>
      <c r="R5" s="1610"/>
      <c r="S5" s="1610"/>
      <c r="T5" s="1610"/>
      <c r="U5" s="1610"/>
      <c r="V5" s="1610"/>
      <c r="W5" s="1610"/>
      <c r="X5" s="1610"/>
      <c r="AH5" s="158"/>
      <c r="AI5" s="158"/>
      <c r="AJ5" s="158"/>
      <c r="AK5" s="158"/>
      <c r="AL5" s="158"/>
      <c r="AM5" s="158"/>
      <c r="AN5" s="158"/>
    </row>
    <row r="6" spans="2:51" ht="15" customHeight="1" thickBot="1" x14ac:dyDescent="0.25">
      <c r="O6" s="536" t="s">
        <v>268</v>
      </c>
      <c r="P6" s="504" t="str" cm="1">
        <f t="array" ref="P6">IF(OR('Trading Summary WaterC''s'!G5:H8="No ▲"), "No - check trading summary ▲", "Yes ✓")</f>
        <v>Yes ✓</v>
      </c>
      <c r="Q6" s="509"/>
      <c r="R6" s="509"/>
      <c r="S6" s="509"/>
      <c r="T6" s="509"/>
    </row>
    <row r="7" spans="2:51" ht="14.25" x14ac:dyDescent="0.2">
      <c r="C7" s="101"/>
    </row>
    <row r="8" spans="2:51" ht="15" thickBot="1" x14ac:dyDescent="0.25"/>
    <row r="9" spans="2:51" ht="15" thickBot="1" x14ac:dyDescent="0.25">
      <c r="C9" s="101"/>
      <c r="D9" s="101"/>
      <c r="E9" s="101"/>
      <c r="F9" s="101"/>
      <c r="G9" s="101"/>
      <c r="H9" s="101"/>
      <c r="I9" s="101"/>
      <c r="J9" s="101"/>
      <c r="K9" s="101"/>
      <c r="L9" s="101"/>
      <c r="M9" s="101"/>
      <c r="N9" s="1539" t="s">
        <v>312</v>
      </c>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1"/>
      <c r="AO9" s="332"/>
    </row>
    <row r="10" spans="2:51" s="33" customFormat="1" ht="27" customHeight="1" thickBot="1" x14ac:dyDescent="0.25">
      <c r="C10" s="1529" t="s">
        <v>333</v>
      </c>
      <c r="D10" s="1599"/>
      <c r="E10" s="1599"/>
      <c r="F10" s="1599"/>
      <c r="G10" s="1599"/>
      <c r="H10" s="1599"/>
      <c r="I10" s="1599"/>
      <c r="J10" s="1599"/>
      <c r="K10" s="1599"/>
      <c r="L10" s="1599"/>
      <c r="M10" s="1599"/>
      <c r="N10" s="1615" t="s">
        <v>433</v>
      </c>
      <c r="O10" s="1622" t="s">
        <v>335</v>
      </c>
      <c r="P10" s="1623"/>
      <c r="Q10" s="1549" t="s">
        <v>34</v>
      </c>
      <c r="R10" s="1549" t="s">
        <v>422</v>
      </c>
      <c r="S10" s="1549"/>
      <c r="T10" s="1549" t="s">
        <v>423</v>
      </c>
      <c r="U10" s="1549"/>
      <c r="V10" s="1570" t="s">
        <v>272</v>
      </c>
      <c r="W10" s="1571"/>
      <c r="X10" s="1572"/>
      <c r="Y10" s="1570" t="s">
        <v>315</v>
      </c>
      <c r="Z10" s="1571"/>
      <c r="AA10" s="1571"/>
      <c r="AB10" s="1571"/>
      <c r="AC10" s="1571"/>
      <c r="AD10" s="1572"/>
      <c r="AE10" s="1570" t="s">
        <v>316</v>
      </c>
      <c r="AF10" s="1571"/>
      <c r="AG10" s="1571"/>
      <c r="AH10" s="1572"/>
      <c r="AI10" s="1549" t="s">
        <v>407</v>
      </c>
      <c r="AJ10" s="1549"/>
      <c r="AK10" s="1570" t="s">
        <v>408</v>
      </c>
      <c r="AL10" s="1572"/>
      <c r="AM10" s="1549" t="s">
        <v>359</v>
      </c>
      <c r="AN10" s="1570"/>
      <c r="AO10" s="1563" t="s">
        <v>434</v>
      </c>
      <c r="AP10" s="1563" t="s">
        <v>419</v>
      </c>
      <c r="AQ10" s="1312" t="s">
        <v>277</v>
      </c>
      <c r="AR10" s="1310"/>
    </row>
    <row r="11" spans="2:51" ht="60" customHeight="1" thickBot="1" x14ac:dyDescent="0.25">
      <c r="B11" s="719" t="s">
        <v>340</v>
      </c>
      <c r="C11" s="140" t="s">
        <v>341</v>
      </c>
      <c r="D11" s="145" t="s">
        <v>34</v>
      </c>
      <c r="E11" s="145" t="s">
        <v>343</v>
      </c>
      <c r="F11" s="145" t="s">
        <v>344</v>
      </c>
      <c r="G11" s="145" t="s">
        <v>345</v>
      </c>
      <c r="H11" s="145" t="s">
        <v>346</v>
      </c>
      <c r="I11" s="145" t="s">
        <v>347</v>
      </c>
      <c r="J11" s="145" t="s">
        <v>272</v>
      </c>
      <c r="K11" s="145" t="s">
        <v>348</v>
      </c>
      <c r="L11" s="145" t="s">
        <v>273</v>
      </c>
      <c r="M11" s="144" t="s">
        <v>425</v>
      </c>
      <c r="N11" s="1616"/>
      <c r="O11" s="132" t="s">
        <v>396</v>
      </c>
      <c r="P11" s="861" t="s">
        <v>397</v>
      </c>
      <c r="Q11" s="1617"/>
      <c r="R11" s="132" t="s">
        <v>270</v>
      </c>
      <c r="S11" s="752" t="s">
        <v>287</v>
      </c>
      <c r="T11" s="132" t="s">
        <v>271</v>
      </c>
      <c r="U11" s="752" t="s">
        <v>287</v>
      </c>
      <c r="V11" s="132" t="s">
        <v>272</v>
      </c>
      <c r="W11" s="811" t="s">
        <v>272</v>
      </c>
      <c r="X11" s="752" t="s">
        <v>318</v>
      </c>
      <c r="Y11" s="132" t="s">
        <v>393</v>
      </c>
      <c r="Z11" s="811" t="s">
        <v>378</v>
      </c>
      <c r="AA11" s="811" t="s">
        <v>355</v>
      </c>
      <c r="AB11" s="811" t="s">
        <v>322</v>
      </c>
      <c r="AC11" s="811" t="s">
        <v>323</v>
      </c>
      <c r="AD11" s="752" t="s">
        <v>398</v>
      </c>
      <c r="AE11" s="132" t="s">
        <v>399</v>
      </c>
      <c r="AF11" s="811" t="s">
        <v>1682</v>
      </c>
      <c r="AG11" s="811" t="s">
        <v>357</v>
      </c>
      <c r="AH11" s="752" t="s">
        <v>328</v>
      </c>
      <c r="AI11" s="132" t="s">
        <v>410</v>
      </c>
      <c r="AJ11" s="752" t="s">
        <v>411</v>
      </c>
      <c r="AK11" s="132" t="s">
        <v>412</v>
      </c>
      <c r="AL11" s="752" t="s">
        <v>411</v>
      </c>
      <c r="AM11" s="132" t="s">
        <v>362</v>
      </c>
      <c r="AN11" s="887" t="s">
        <v>411</v>
      </c>
      <c r="AO11" s="1564"/>
      <c r="AP11" s="1564"/>
      <c r="AQ11" s="126" t="s">
        <v>296</v>
      </c>
      <c r="AR11" s="861" t="s">
        <v>297</v>
      </c>
      <c r="AS11" s="43" t="s">
        <v>298</v>
      </c>
      <c r="AT11" s="43" t="s">
        <v>364</v>
      </c>
      <c r="AY11" s="210" t="s">
        <v>281</v>
      </c>
    </row>
    <row r="12" spans="2:51" ht="14.25" x14ac:dyDescent="0.2">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4.25" x14ac:dyDescent="0.2">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4.25" x14ac:dyDescent="0.2">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4.25" x14ac:dyDescent="0.2">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4.25" x14ac:dyDescent="0.2">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4.25" x14ac:dyDescent="0.2">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4.25" x14ac:dyDescent="0.2">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4.25" x14ac:dyDescent="0.2">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4.25" x14ac:dyDescent="0.2">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4.25" x14ac:dyDescent="0.2">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4.25" x14ac:dyDescent="0.2">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4.25" x14ac:dyDescent="0.2">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4.25" x14ac:dyDescent="0.2">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4.25" x14ac:dyDescent="0.2">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4.25" x14ac:dyDescent="0.2">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4.25" x14ac:dyDescent="0.2">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4.25" x14ac:dyDescent="0.2">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4.25" x14ac:dyDescent="0.2">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4.25" x14ac:dyDescent="0.2">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4.25" x14ac:dyDescent="0.2">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4.25" x14ac:dyDescent="0.2">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4.25" x14ac:dyDescent="0.2">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4.25" x14ac:dyDescent="0.2">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4.25" x14ac:dyDescent="0.2">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4.25" x14ac:dyDescent="0.2">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4.25" x14ac:dyDescent="0.2">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4.25" x14ac:dyDescent="0.2">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4.25" x14ac:dyDescent="0.2">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4.25" x14ac:dyDescent="0.2">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4.25" x14ac:dyDescent="0.2">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4.25" x14ac:dyDescent="0.2">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4.25" x14ac:dyDescent="0.2">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4.25" x14ac:dyDescent="0.2">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4.25" x14ac:dyDescent="0.2">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4.25" x14ac:dyDescent="0.2">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4.25" x14ac:dyDescent="0.2">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4.25" x14ac:dyDescent="0.2">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4.25" x14ac:dyDescent="0.2">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4.25" x14ac:dyDescent="0.2">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4.25" x14ac:dyDescent="0.2">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4.25" x14ac:dyDescent="0.2">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4.25" x14ac:dyDescent="0.2">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4.25" x14ac:dyDescent="0.2">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4.25" x14ac:dyDescent="0.2">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4.25" x14ac:dyDescent="0.2">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4.25" x14ac:dyDescent="0.2">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4.25" x14ac:dyDescent="0.2">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4.25" x14ac:dyDescent="0.2">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4.25" x14ac:dyDescent="0.2">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4.25" x14ac:dyDescent="0.2">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4.25" x14ac:dyDescent="0.2">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4.25" x14ac:dyDescent="0.2">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4.25" x14ac:dyDescent="0.2">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4.25" x14ac:dyDescent="0.2">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4.25" x14ac:dyDescent="0.2">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4.25" x14ac:dyDescent="0.2">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4.25" x14ac:dyDescent="0.2">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4.25" x14ac:dyDescent="0.2">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4.25" x14ac:dyDescent="0.2">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4.25" x14ac:dyDescent="0.2">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4.25" x14ac:dyDescent="0.2">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4.25" x14ac:dyDescent="0.2">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4.25" x14ac:dyDescent="0.2">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4.25" x14ac:dyDescent="0.2">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4.25" x14ac:dyDescent="0.2">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4.25" x14ac:dyDescent="0.2">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4.25" x14ac:dyDescent="0.2">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4.25" x14ac:dyDescent="0.2">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4.25" x14ac:dyDescent="0.2">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4.25" x14ac:dyDescent="0.2">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4.25" x14ac:dyDescent="0.2">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4.25" x14ac:dyDescent="0.2">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4.25" x14ac:dyDescent="0.2">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4.25" x14ac:dyDescent="0.2">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4.25" x14ac:dyDescent="0.2">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4.25" x14ac:dyDescent="0.2">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4.25" x14ac:dyDescent="0.2">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4.25" x14ac:dyDescent="0.2">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4.25" x14ac:dyDescent="0.2">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4.25" x14ac:dyDescent="0.2">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4.25" x14ac:dyDescent="0.2">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4.25" x14ac:dyDescent="0.2">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4.25" x14ac:dyDescent="0.2">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4.25" x14ac:dyDescent="0.2">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4.25" x14ac:dyDescent="0.2">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4.25" x14ac:dyDescent="0.2">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4.25" x14ac:dyDescent="0.2">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4.25" x14ac:dyDescent="0.2">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4.25" x14ac:dyDescent="0.2">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4.25" x14ac:dyDescent="0.2">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4.25" x14ac:dyDescent="0.2">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4.25" x14ac:dyDescent="0.2">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4.25" x14ac:dyDescent="0.2">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4.25" x14ac:dyDescent="0.2">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4.25" x14ac:dyDescent="0.2">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4.25" x14ac:dyDescent="0.2">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4.25" x14ac:dyDescent="0.2">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4.25" x14ac:dyDescent="0.2">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4.25" x14ac:dyDescent="0.2">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4.25" x14ac:dyDescent="0.2">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4.25" x14ac:dyDescent="0.2">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4.25" x14ac:dyDescent="0.2">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4.25" x14ac:dyDescent="0.2">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4.25" x14ac:dyDescent="0.2">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4.25" x14ac:dyDescent="0.2">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4.25" x14ac:dyDescent="0.2">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4.25" x14ac:dyDescent="0.2">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4.25" x14ac:dyDescent="0.2">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4.25" x14ac:dyDescent="0.2">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4.25" x14ac:dyDescent="0.2">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4.25" x14ac:dyDescent="0.2">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4.25" x14ac:dyDescent="0.2">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4.25" x14ac:dyDescent="0.2">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4.25" x14ac:dyDescent="0.2">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4.25" x14ac:dyDescent="0.2">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4.25" x14ac:dyDescent="0.2">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4.25" x14ac:dyDescent="0.2">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4.25" x14ac:dyDescent="0.2">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4.25" x14ac:dyDescent="0.2">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4.25" x14ac:dyDescent="0.2">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4.25" x14ac:dyDescent="0.2">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4.25" x14ac:dyDescent="0.2">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4.25" x14ac:dyDescent="0.2">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4.25" x14ac:dyDescent="0.2">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4.25" x14ac:dyDescent="0.2">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4.25" x14ac:dyDescent="0.2">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4.25" x14ac:dyDescent="0.2">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4.25" x14ac:dyDescent="0.2">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4.25" x14ac:dyDescent="0.2">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4.25" x14ac:dyDescent="0.2">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4.25" x14ac:dyDescent="0.2">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4.25" x14ac:dyDescent="0.2">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4.25" x14ac:dyDescent="0.2">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4.25" x14ac:dyDescent="0.2">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4.25" x14ac:dyDescent="0.2">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4.25" x14ac:dyDescent="0.2">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4.25" x14ac:dyDescent="0.2">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4.25" x14ac:dyDescent="0.2">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4.25" x14ac:dyDescent="0.2">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4.25" x14ac:dyDescent="0.2">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4.25" x14ac:dyDescent="0.2">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4.25" x14ac:dyDescent="0.2">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4.25" x14ac:dyDescent="0.2">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4.25" x14ac:dyDescent="0.2">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4.25" x14ac:dyDescent="0.2">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4.25" x14ac:dyDescent="0.2">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4.25" x14ac:dyDescent="0.2">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4.25" x14ac:dyDescent="0.2">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4.25" x14ac:dyDescent="0.2">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4.25" x14ac:dyDescent="0.2">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4.25" x14ac:dyDescent="0.2">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4.25" x14ac:dyDescent="0.2">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4.25" x14ac:dyDescent="0.2">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4.25" x14ac:dyDescent="0.2">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4.25" x14ac:dyDescent="0.2">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4.25" x14ac:dyDescent="0.2">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4.25" x14ac:dyDescent="0.2">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4.25" x14ac:dyDescent="0.2">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4.25" x14ac:dyDescent="0.2">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4.25" x14ac:dyDescent="0.2">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4.25" x14ac:dyDescent="0.2">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4.25" x14ac:dyDescent="0.2">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4.25" x14ac:dyDescent="0.2">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4.25" x14ac:dyDescent="0.2">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4.25" x14ac:dyDescent="0.2">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4.25" x14ac:dyDescent="0.2">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4.25" x14ac:dyDescent="0.2">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4.25" x14ac:dyDescent="0.2">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4.25" x14ac:dyDescent="0.2">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4.25" x14ac:dyDescent="0.2">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4.25" x14ac:dyDescent="0.2">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4.25" x14ac:dyDescent="0.2">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4.25" x14ac:dyDescent="0.2">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4.25" x14ac:dyDescent="0.2">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4.25" x14ac:dyDescent="0.2">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4.25" x14ac:dyDescent="0.2">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4.25" x14ac:dyDescent="0.2">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4.25" x14ac:dyDescent="0.2">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4.25" x14ac:dyDescent="0.2">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4.25" x14ac:dyDescent="0.2">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4.25" x14ac:dyDescent="0.2">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4.25" x14ac:dyDescent="0.2">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4.25" x14ac:dyDescent="0.2">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4.25" x14ac:dyDescent="0.2">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4.25" x14ac:dyDescent="0.2">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4.25" x14ac:dyDescent="0.2">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4.25" x14ac:dyDescent="0.2">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4.25" x14ac:dyDescent="0.2">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4.25" x14ac:dyDescent="0.2">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4.25" x14ac:dyDescent="0.2">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4.25" x14ac:dyDescent="0.2">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4.25" x14ac:dyDescent="0.2">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4.25" x14ac:dyDescent="0.2">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4.25" x14ac:dyDescent="0.2">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4.25" x14ac:dyDescent="0.2">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4.25" x14ac:dyDescent="0.2">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4.25" x14ac:dyDescent="0.2">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4.25" x14ac:dyDescent="0.2">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4.25" x14ac:dyDescent="0.2">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4.25" x14ac:dyDescent="0.2">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4.25" x14ac:dyDescent="0.2">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4.25" x14ac:dyDescent="0.2">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4.25" x14ac:dyDescent="0.2">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4.25" x14ac:dyDescent="0.2">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4.25" x14ac:dyDescent="0.2">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4.25" x14ac:dyDescent="0.2">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4.25" x14ac:dyDescent="0.2">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4.25" x14ac:dyDescent="0.2">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4.25" x14ac:dyDescent="0.2">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4.25" x14ac:dyDescent="0.2">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4.25" x14ac:dyDescent="0.2">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4.25" x14ac:dyDescent="0.2">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4.25" x14ac:dyDescent="0.2">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4.25" x14ac:dyDescent="0.2">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4.25" x14ac:dyDescent="0.2">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4.25" x14ac:dyDescent="0.2">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4.25" x14ac:dyDescent="0.2">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4.25" x14ac:dyDescent="0.2">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4.25" x14ac:dyDescent="0.2">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4.25" x14ac:dyDescent="0.2">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4.25" x14ac:dyDescent="0.2">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4.25" x14ac:dyDescent="0.2">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4.25" x14ac:dyDescent="0.2">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4.25" x14ac:dyDescent="0.2">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4.25" x14ac:dyDescent="0.2">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4.25" x14ac:dyDescent="0.2">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4.25" x14ac:dyDescent="0.2">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4.25" x14ac:dyDescent="0.2">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4.25" x14ac:dyDescent="0.2">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4.25" x14ac:dyDescent="0.2">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4.25" x14ac:dyDescent="0.2">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4.25" x14ac:dyDescent="0.2">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4.25" x14ac:dyDescent="0.2">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4.25" x14ac:dyDescent="0.2">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4.25" x14ac:dyDescent="0.2">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4.25" x14ac:dyDescent="0.2">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4.25" x14ac:dyDescent="0.2">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4.25" x14ac:dyDescent="0.2">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4.25" x14ac:dyDescent="0.2">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4.25" x14ac:dyDescent="0.2">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4.25" x14ac:dyDescent="0.2">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4.25" x14ac:dyDescent="0.2">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4.25" x14ac:dyDescent="0.2">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4.25" x14ac:dyDescent="0.2">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4.25" x14ac:dyDescent="0.2">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 thickBot="1" x14ac:dyDescent="0.25">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 thickBot="1" x14ac:dyDescent="0.25">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6"/>
      <c r="AN258" s="1526"/>
      <c r="AO258" s="427">
        <f>SUM(AO12:AO257)</f>
        <v>0</v>
      </c>
      <c r="AP258" s="427">
        <f>SUM(AP12:AP257)</f>
        <v>0</v>
      </c>
      <c r="AQ258" s="34"/>
      <c r="AR258" s="34"/>
    </row>
    <row r="259" spans="2:51" ht="14.25" x14ac:dyDescent="0.2">
      <c r="AJ259" s="30" t="str">
        <f>IF(AI259="","",IF(VLOOKUP(AI259,'[2]G-7 Rivers Data'!$AA$4:$AB$6,2,FALSE)=0,"Spatial Data Missing",VLOOKUP(AI259,'[2]G-7 Rivers Data'!$AA$4:$AB$6,2,FALSE)))</f>
        <v/>
      </c>
      <c r="AM259" s="32"/>
    </row>
    <row r="260" spans="2:51" ht="14.25" x14ac:dyDescent="0.2"/>
    <row r="261" spans="2:51" ht="14.25" x14ac:dyDescent="0.2"/>
    <row r="262" spans="2:51" ht="14.25" x14ac:dyDescent="0.2"/>
    <row r="263" spans="2:51" ht="14.25" x14ac:dyDescent="0.2"/>
    <row r="264" spans="2:51" ht="14.25" x14ac:dyDescent="0.2"/>
    <row r="265" spans="2:51" ht="14.25" x14ac:dyDescent="0.2"/>
    <row r="266" spans="2:51" ht="14.25" x14ac:dyDescent="0.2"/>
  </sheetData>
  <sheetProtection algorithmName="SHA-512" hashValue="X49TTypP0jU38oiDKFFb8HNsRZB8473oiNdQfh/NewbXv0rxoIrIbwtiZPfD8EEhN4MPfoIYJS3rXM143D5umw==" saltValue="UMxinrSf9bE5TyUg8cqDx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0" priority="29" operator="containsText" text="Restore">
      <formula>NOT(ISERROR(SEARCH("Restore",L12)))</formula>
    </cfRule>
  </conditionalFormatting>
  <conditionalFormatting sqref="O12:AB257 AO258:AP258">
    <cfRule type="beginsWith" dxfId="29" priority="24" operator="beginsWith" text="No - Low">
      <formula>LEFT(O12,LEN("No - Low"))="No - Low"</formula>
    </cfRule>
    <cfRule type="containsText" dxfId="28" priority="25" operator="containsText" text="30+">
      <formula>NOT(ISERROR(SEARCH("30+",O12)))</formula>
    </cfRule>
    <cfRule type="containsText" dxfId="27" priority="26" operator="containsText" text="Spatial">
      <formula>NOT(ISERROR(SEARCH("Spatial",O12)))</formula>
    </cfRule>
  </conditionalFormatting>
  <conditionalFormatting sqref="O12:AO257">
    <cfRule type="containsText" dxfId="26" priority="22" operator="containsText" text="Check">
      <formula>NOT(ISERROR(SEARCH("Check",O12)))</formula>
    </cfRule>
  </conditionalFormatting>
  <conditionalFormatting sqref="P4">
    <cfRule type="containsText" dxfId="25" priority="18" operator="containsText" text="Error">
      <formula>NOT(ISERROR(SEARCH("Error",P4)))</formula>
    </cfRule>
    <cfRule type="containsText" dxfId="24" priority="19" operator="containsText" text="Check">
      <formula>NOT(ISERROR(SEARCH("Check",P4)))</formula>
    </cfRule>
  </conditionalFormatting>
  <conditionalFormatting sqref="P5">
    <cfRule type="cellIs" dxfId="23" priority="1" operator="equal">
      <formula>0</formula>
    </cfRule>
    <cfRule type="containsText" dxfId="22" priority="2" operator="containsText" text="Error">
      <formula>NOT(ISERROR(SEARCH("Error",P5)))</formula>
    </cfRule>
    <cfRule type="containsText" dxfId="21" priority="3" operator="containsText" text="Check">
      <formula>NOT(ISERROR(SEARCH("Check",P5)))</formula>
    </cfRule>
    <cfRule type="cellIs" dxfId="20" priority="4" operator="lessThan">
      <formula>0</formula>
    </cfRule>
  </conditionalFormatting>
  <conditionalFormatting sqref="P6">
    <cfRule type="containsText" dxfId="17" priority="11" operator="containsText" text="No">
      <formula>NOT(ISERROR(SEARCH("No",P6)))</formula>
    </cfRule>
    <cfRule type="containsText" dxfId="16" priority="12" operator="containsText" text="Yes">
      <formula>NOT(ISERROR(SEARCH("Yes",P6)))</formula>
    </cfRule>
  </conditionalFormatting>
  <conditionalFormatting sqref="R3:X5">
    <cfRule type="containsText" dxfId="15" priority="13" operator="containsText" text="Check">
      <formula>NOT(ISERROR(SEARCH("Check",R3)))</formula>
    </cfRule>
  </conditionalFormatting>
  <conditionalFormatting sqref="U12:U257">
    <cfRule type="containsText" dxfId="14" priority="10" operator="containsText" text="Not possible">
      <formula>NOT(ISERROR(SEARCH("Not possible",U12)))</formula>
    </cfRule>
  </conditionalFormatting>
  <conditionalFormatting sqref="Y2">
    <cfRule type="containsText" dxfId="13" priority="20" operator="containsText" text="Note">
      <formula>NOT(ISERROR(SEARCH("Note",Y2)))</formula>
    </cfRule>
  </conditionalFormatting>
  <conditionalFormatting sqref="AC12:AD257">
    <cfRule type="beginsWith" dxfId="12" priority="23" operator="beginsWith" text="Error">
      <formula>LEFT(AC12,LEN("Error"))="Error"</formula>
    </cfRule>
  </conditionalFormatting>
  <conditionalFormatting sqref="AE12:AP257">
    <cfRule type="beginsWith" dxfId="11" priority="5" operator="beginsWith" text="No - Low">
      <formula>LEFT(AE12,LEN("No - Low"))="No - Low"</formula>
    </cfRule>
    <cfRule type="containsText" dxfId="10" priority="6" operator="containsText" text="30+">
      <formula>NOT(ISERROR(SEARCH("30+",AE12)))</formula>
    </cfRule>
    <cfRule type="containsText" dxfId="9" priority="7" operator="containsText" text="Spatial">
      <formula>NOT(ISERROR(SEARCH("Spatial",AE12)))</formula>
    </cfRule>
  </conditionalFormatting>
  <conditionalFormatting sqref="AO258:AP258 O12:AB257 AE12:AO257">
    <cfRule type="containsText" dxfId="8" priority="28" operator="containsText" text="Error">
      <formula>NOT(ISERROR(SEARCH("Error",O12)))</formula>
    </cfRule>
  </conditionalFormatting>
  <conditionalFormatting sqref="AO258:AP258">
    <cfRule type="containsText" dxfId="7" priority="27" operator="containsText" text="Check">
      <formula>NOT(ISERROR(SEARCH("Check",AO258)))</formula>
    </cfRule>
  </conditionalFormatting>
  <conditionalFormatting sqref="AP12:AP257">
    <cfRule type="containsText" dxfId="6" priority="8" operator="containsText" text="Check">
      <formula>NOT(ISERROR(SEARCH("Check",AP12)))</formula>
    </cfRule>
    <cfRule type="containsText" dxfId="5" priority="9" operator="containsText" text="Error">
      <formula>NOT(ISERROR(SEARCH("Error",AP12)))</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3" operator="lessThan" id="{81F228A8-0E99-4272-9DDD-FBE759F32105}">
            <xm:f>Start!$F$22</xm:f>
            <x14:dxf>
              <font>
                <color rgb="FF383745"/>
              </font>
              <fill>
                <patternFill>
                  <bgColor rgb="FFFFC000"/>
                </patternFill>
              </fill>
            </x14:dxf>
          </x14:cfRule>
          <x14:cfRule type="cellIs" priority="454"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63" activePane="bottomRight" state="frozen"/>
      <selection pane="topRight"/>
      <selection pane="bottomLeft"/>
      <selection pane="bottomRight"/>
    </sheetView>
  </sheetViews>
  <sheetFormatPr defaultColWidth="4.140625" defaultRowHeight="14.25" zeroHeight="1" x14ac:dyDescent="0.2"/>
  <cols>
    <col min="1" max="1" width="30.42578125" style="33" customWidth="1"/>
    <col min="2" max="2" width="77" style="30" bestFit="1" customWidth="1"/>
    <col min="3" max="3" width="26.28515625" style="30" bestFit="1" customWidth="1"/>
    <col min="4" max="4" width="13.7109375" style="30" bestFit="1" customWidth="1"/>
    <col min="5" max="5" width="19.85546875" style="30" bestFit="1" customWidth="1"/>
    <col min="6" max="6" width="25.28515625" style="30" bestFit="1" customWidth="1"/>
    <col min="7" max="7" width="19.85546875" style="30" bestFit="1" customWidth="1"/>
    <col min="8" max="8" width="82.140625" style="30" bestFit="1" customWidth="1"/>
    <col min="9" max="9" width="26.140625" style="30" customWidth="1"/>
    <col min="10" max="10" width="60.5703125" style="30" bestFit="1" customWidth="1"/>
    <col min="11" max="11" width="21.140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140625" style="30" bestFit="1" customWidth="1"/>
    <col min="20" max="23" width="26.140625" style="30" customWidth="1"/>
    <col min="24" max="24" width="30.140625" style="30" customWidth="1"/>
    <col min="25" max="27" width="26.140625" style="30" customWidth="1"/>
    <col min="28" max="33" width="31.28515625" style="30" customWidth="1"/>
    <col min="34" max="35" width="4.140625" style="30"/>
    <col min="36" max="16383" width="0" style="30" hidden="1" customWidth="1"/>
    <col min="16384" max="16384" width="2.28515625" style="30" hidden="1" customWidth="1"/>
  </cols>
  <sheetData>
    <row r="1" spans="1:35" ht="57.6" customHeight="1" x14ac:dyDescent="0.3">
      <c r="D1" s="1629" t="s">
        <v>435</v>
      </c>
      <c r="E1" s="1629"/>
      <c r="F1" s="1629"/>
      <c r="G1" s="174"/>
      <c r="H1" s="595"/>
      <c r="I1" s="174"/>
      <c r="J1" s="174"/>
      <c r="V1" s="1624" t="s">
        <v>436</v>
      </c>
      <c r="W1" s="1626"/>
      <c r="X1" s="1625"/>
      <c r="Z1" s="1624" t="s">
        <v>437</v>
      </c>
      <c r="AA1" s="1625"/>
      <c r="AF1" s="1627" t="s">
        <v>438</v>
      </c>
      <c r="AG1" s="1627" t="s">
        <v>439</v>
      </c>
    </row>
    <row r="2" spans="1:35" s="90" customFormat="1" ht="41.45" customHeight="1" x14ac:dyDescent="0.2">
      <c r="A2" s="230"/>
      <c r="B2" s="78" t="s">
        <v>440</v>
      </c>
      <c r="C2" s="175" t="s">
        <v>441</v>
      </c>
      <c r="D2" s="175" t="s">
        <v>442</v>
      </c>
      <c r="E2" s="175" t="s">
        <v>443</v>
      </c>
      <c r="F2" s="175" t="s">
        <v>444</v>
      </c>
      <c r="G2" s="175" t="s">
        <v>445</v>
      </c>
      <c r="H2" s="596" t="s">
        <v>446</v>
      </c>
      <c r="I2" s="175" t="s">
        <v>447</v>
      </c>
      <c r="J2" s="175" t="s">
        <v>448</v>
      </c>
      <c r="K2" s="175" t="s">
        <v>449</v>
      </c>
      <c r="L2" s="175" t="s">
        <v>450</v>
      </c>
      <c r="M2" s="175" t="s">
        <v>451</v>
      </c>
      <c r="N2" s="176" t="s">
        <v>452</v>
      </c>
      <c r="O2" s="176" t="s">
        <v>411</v>
      </c>
      <c r="P2" s="176" t="s">
        <v>453</v>
      </c>
      <c r="Q2" s="176" t="s">
        <v>411</v>
      </c>
      <c r="R2" s="176" t="s">
        <v>454</v>
      </c>
      <c r="S2" s="176" t="s">
        <v>455</v>
      </c>
      <c r="T2" s="30"/>
      <c r="U2" s="30"/>
      <c r="V2" s="78" t="s">
        <v>456</v>
      </c>
      <c r="W2" s="78" t="s">
        <v>457</v>
      </c>
      <c r="X2" s="78" t="s">
        <v>458</v>
      </c>
      <c r="Y2" s="30"/>
      <c r="Z2" s="78" t="s">
        <v>459</v>
      </c>
      <c r="AA2" s="78" t="s">
        <v>460</v>
      </c>
      <c r="AB2" s="30"/>
      <c r="AC2" s="30"/>
      <c r="AD2" s="78" t="s">
        <v>461</v>
      </c>
      <c r="AE2" s="30"/>
      <c r="AF2" s="1628"/>
      <c r="AG2" s="1628"/>
      <c r="AH2" s="30"/>
      <c r="AI2" s="30"/>
    </row>
    <row r="3" spans="1:35" ht="28.5" x14ac:dyDescent="0.2">
      <c r="A3" s="698" t="s">
        <v>462</v>
      </c>
      <c r="B3" s="91" t="s">
        <v>463</v>
      </c>
      <c r="C3" s="404" t="s">
        <v>464</v>
      </c>
      <c r="D3" s="404" t="s">
        <v>465</v>
      </c>
      <c r="E3" s="404"/>
      <c r="F3" s="382" t="s">
        <v>124</v>
      </c>
      <c r="G3" s="404"/>
      <c r="H3" s="521" t="s">
        <v>466</v>
      </c>
      <c r="I3" s="404"/>
      <c r="J3" s="404" t="s">
        <v>467</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468</v>
      </c>
      <c r="W3" s="404">
        <v>8</v>
      </c>
      <c r="X3" s="467" t="s">
        <v>469</v>
      </c>
      <c r="Z3" s="404" t="s">
        <v>68</v>
      </c>
      <c r="AA3" s="404">
        <v>3</v>
      </c>
      <c r="AD3" s="430" t="s">
        <v>52</v>
      </c>
      <c r="AF3" s="404" t="s">
        <v>124</v>
      </c>
      <c r="AG3" s="404" t="s">
        <v>124</v>
      </c>
    </row>
    <row r="4" spans="1:35" ht="28.5" x14ac:dyDescent="0.2">
      <c r="A4" s="698" t="s">
        <v>470</v>
      </c>
      <c r="B4" s="91" t="s">
        <v>471</v>
      </c>
      <c r="C4" s="404" t="s">
        <v>472</v>
      </c>
      <c r="D4" s="404" t="s">
        <v>465</v>
      </c>
      <c r="E4" s="404"/>
      <c r="F4" s="382" t="s">
        <v>124</v>
      </c>
      <c r="G4" s="404"/>
      <c r="H4" s="521" t="s">
        <v>466</v>
      </c>
      <c r="I4" s="404"/>
      <c r="J4" s="404" t="s">
        <v>467</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473</v>
      </c>
      <c r="AA4" s="404">
        <v>2.5</v>
      </c>
      <c r="AD4" s="430" t="s">
        <v>54</v>
      </c>
      <c r="AF4" s="404" t="s">
        <v>125</v>
      </c>
      <c r="AG4" s="404" t="s">
        <v>125</v>
      </c>
    </row>
    <row r="5" spans="1:35" ht="42.75" x14ac:dyDescent="0.2">
      <c r="A5" s="698" t="s">
        <v>474</v>
      </c>
      <c r="B5" s="91" t="s">
        <v>475</v>
      </c>
      <c r="C5" s="404" t="s">
        <v>476</v>
      </c>
      <c r="D5" s="404" t="s">
        <v>465</v>
      </c>
      <c r="E5" s="404"/>
      <c r="F5" s="382" t="s">
        <v>124</v>
      </c>
      <c r="G5" s="404"/>
      <c r="H5" s="521" t="s">
        <v>466</v>
      </c>
      <c r="I5" s="404"/>
      <c r="J5" s="404" t="s">
        <v>467</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477</v>
      </c>
    </row>
    <row r="6" spans="1:35" ht="28.5" x14ac:dyDescent="0.2">
      <c r="A6" s="698" t="s">
        <v>478</v>
      </c>
      <c r="B6" s="91" t="s">
        <v>479</v>
      </c>
      <c r="C6" s="404" t="s">
        <v>480</v>
      </c>
      <c r="D6" s="404" t="s">
        <v>465</v>
      </c>
      <c r="E6" s="404" t="s">
        <v>481</v>
      </c>
      <c r="F6" s="382" t="s">
        <v>124</v>
      </c>
      <c r="G6" s="404" t="s">
        <v>482</v>
      </c>
      <c r="H6" s="521" t="s">
        <v>466</v>
      </c>
      <c r="I6" s="404" t="s">
        <v>480</v>
      </c>
      <c r="J6" s="404" t="s">
        <v>467</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483</v>
      </c>
      <c r="AA6" s="404">
        <v>1.5</v>
      </c>
      <c r="AF6" s="404" t="s">
        <v>127</v>
      </c>
      <c r="AG6" s="404" t="s">
        <v>127</v>
      </c>
    </row>
    <row r="7" spans="1:35" ht="28.5" x14ac:dyDescent="0.2">
      <c r="A7" s="698" t="s">
        <v>484</v>
      </c>
      <c r="B7" s="91" t="s">
        <v>485</v>
      </c>
      <c r="C7" s="404" t="s">
        <v>486</v>
      </c>
      <c r="D7" s="404" t="s">
        <v>465</v>
      </c>
      <c r="E7" s="404"/>
      <c r="F7" s="382" t="s">
        <v>124</v>
      </c>
      <c r="G7" s="404"/>
      <c r="H7" s="521" t="s">
        <v>466</v>
      </c>
      <c r="I7" s="404" t="s">
        <v>486</v>
      </c>
      <c r="J7" s="404" t="s">
        <v>484</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487</v>
      </c>
      <c r="W7" s="404">
        <v>0</v>
      </c>
      <c r="X7" s="471" t="s">
        <v>488</v>
      </c>
      <c r="Z7" s="404" t="s">
        <v>329</v>
      </c>
      <c r="AA7" s="404">
        <v>1</v>
      </c>
      <c r="AF7" s="404" t="s">
        <v>128</v>
      </c>
      <c r="AG7" s="404" t="s">
        <v>489</v>
      </c>
    </row>
    <row r="8" spans="1:35" x14ac:dyDescent="0.2">
      <c r="A8" s="698" t="s">
        <v>490</v>
      </c>
      <c r="B8" s="91" t="s">
        <v>491</v>
      </c>
      <c r="C8" s="404" t="s">
        <v>492</v>
      </c>
      <c r="D8" s="404" t="s">
        <v>465</v>
      </c>
      <c r="E8" s="404"/>
      <c r="F8" s="382" t="s">
        <v>124</v>
      </c>
      <c r="G8" s="404"/>
      <c r="H8" s="521" t="s">
        <v>466</v>
      </c>
      <c r="I8" s="404"/>
      <c r="J8" s="404" t="s">
        <v>484</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493</v>
      </c>
      <c r="AA8" s="404">
        <v>1</v>
      </c>
      <c r="AF8" s="428" t="s">
        <v>129</v>
      </c>
      <c r="AG8" s="428" t="s">
        <v>129</v>
      </c>
    </row>
    <row r="9" spans="1:35" x14ac:dyDescent="0.2">
      <c r="A9" s="698" t="s">
        <v>494</v>
      </c>
      <c r="B9" s="91" t="s">
        <v>495</v>
      </c>
      <c r="C9" s="404" t="s">
        <v>496</v>
      </c>
      <c r="D9" s="404" t="s">
        <v>465</v>
      </c>
      <c r="E9" s="404"/>
      <c r="F9" s="382" t="s">
        <v>124</v>
      </c>
      <c r="G9" s="404"/>
      <c r="H9" s="521" t="s">
        <v>466</v>
      </c>
      <c r="I9" s="404" t="s">
        <v>496</v>
      </c>
      <c r="J9" s="404" t="s">
        <v>494</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497</v>
      </c>
      <c r="AA9" s="404">
        <v>0</v>
      </c>
      <c r="AF9" s="404" t="s">
        <v>130</v>
      </c>
      <c r="AG9" s="404" t="s">
        <v>130</v>
      </c>
    </row>
    <row r="10" spans="1:35" x14ac:dyDescent="0.2">
      <c r="A10" s="698" t="s">
        <v>498</v>
      </c>
      <c r="B10" s="91" t="s">
        <v>499</v>
      </c>
      <c r="C10" s="404" t="s">
        <v>500</v>
      </c>
      <c r="D10" s="404" t="s">
        <v>465</v>
      </c>
      <c r="E10" s="404"/>
      <c r="F10" s="382" t="s">
        <v>124</v>
      </c>
      <c r="G10" s="404"/>
      <c r="H10" s="521" t="s">
        <v>466</v>
      </c>
      <c r="I10" s="404" t="s">
        <v>500</v>
      </c>
      <c r="J10" s="404" t="s">
        <v>498</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501</v>
      </c>
    </row>
    <row r="11" spans="1:35" x14ac:dyDescent="0.2">
      <c r="A11" s="698" t="s">
        <v>502</v>
      </c>
      <c r="B11" s="91" t="s">
        <v>503</v>
      </c>
      <c r="C11" s="404" t="s">
        <v>504</v>
      </c>
      <c r="D11" s="404" t="s">
        <v>465</v>
      </c>
      <c r="E11" s="404"/>
      <c r="F11" s="382" t="s">
        <v>124</v>
      </c>
      <c r="G11" s="404"/>
      <c r="H11" s="521" t="s">
        <v>466</v>
      </c>
      <c r="I11" s="404" t="s">
        <v>504</v>
      </c>
      <c r="J11" s="404" t="s">
        <v>502</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505</v>
      </c>
    </row>
    <row r="12" spans="1:35" ht="29.25" thickBot="1" x14ac:dyDescent="0.25">
      <c r="A12" s="698" t="s">
        <v>506</v>
      </c>
      <c r="B12" s="178" t="s">
        <v>507</v>
      </c>
      <c r="C12" s="388" t="s">
        <v>508</v>
      </c>
      <c r="D12" s="388" t="s">
        <v>465</v>
      </c>
      <c r="E12" s="388"/>
      <c r="F12" s="371" t="s">
        <v>124</v>
      </c>
      <c r="G12" s="388"/>
      <c r="H12" s="522" t="s">
        <v>466</v>
      </c>
      <c r="I12" s="388" t="s">
        <v>508</v>
      </c>
      <c r="J12" s="388" t="s">
        <v>506</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134</v>
      </c>
      <c r="AG12" s="404" t="s">
        <v>509</v>
      </c>
    </row>
    <row r="13" spans="1:35" x14ac:dyDescent="0.2">
      <c r="A13" s="698" t="s">
        <v>510</v>
      </c>
      <c r="B13" s="179" t="s">
        <v>511</v>
      </c>
      <c r="C13" s="383">
        <v>21</v>
      </c>
      <c r="D13" s="383" t="s">
        <v>465</v>
      </c>
      <c r="E13" s="383"/>
      <c r="F13" s="382" t="s">
        <v>125</v>
      </c>
      <c r="G13" s="383"/>
      <c r="H13" s="523" t="s">
        <v>510</v>
      </c>
      <c r="I13" s="383"/>
      <c r="J13" s="383" t="s">
        <v>510</v>
      </c>
      <c r="K13" s="383" t="s">
        <v>213</v>
      </c>
      <c r="L13" s="383">
        <f t="shared" si="4"/>
        <v>6</v>
      </c>
      <c r="M13" s="519" t="str">
        <f t="shared" si="3"/>
        <v>Same habitat required =</v>
      </c>
      <c r="N13" s="383" t="s">
        <v>216</v>
      </c>
      <c r="O13" s="383">
        <f t="shared" si="1"/>
        <v>1</v>
      </c>
      <c r="P13" s="383" t="s">
        <v>70</v>
      </c>
      <c r="Q13" s="383">
        <f t="shared" si="2"/>
        <v>0.67</v>
      </c>
      <c r="R13" s="370"/>
      <c r="S13" s="383"/>
      <c r="AF13" s="404" t="s">
        <v>133</v>
      </c>
      <c r="AG13" s="404" t="s">
        <v>512</v>
      </c>
    </row>
    <row r="14" spans="1:35" x14ac:dyDescent="0.2">
      <c r="A14" s="698" t="s">
        <v>513</v>
      </c>
      <c r="B14" s="91" t="s">
        <v>514</v>
      </c>
      <c r="C14" s="404" t="s">
        <v>515</v>
      </c>
      <c r="D14" s="404" t="s">
        <v>465</v>
      </c>
      <c r="E14" s="404"/>
      <c r="F14" s="382" t="s">
        <v>125</v>
      </c>
      <c r="G14" s="404"/>
      <c r="H14" s="521" t="s">
        <v>516</v>
      </c>
      <c r="I14" s="404" t="s">
        <v>515</v>
      </c>
      <c r="J14" s="404" t="s">
        <v>513</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517</v>
      </c>
    </row>
    <row r="15" spans="1:35" ht="28.5" x14ac:dyDescent="0.2">
      <c r="A15" s="698" t="s">
        <v>518</v>
      </c>
      <c r="B15" s="91" t="s">
        <v>519</v>
      </c>
      <c r="C15" s="404" t="s">
        <v>520</v>
      </c>
      <c r="D15" s="404" t="s">
        <v>465</v>
      </c>
      <c r="E15" s="404"/>
      <c r="F15" s="382" t="s">
        <v>125</v>
      </c>
      <c r="G15" s="404"/>
      <c r="H15" s="521" t="s">
        <v>521</v>
      </c>
      <c r="I15" s="404"/>
      <c r="J15" s="404" t="s">
        <v>521</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522</v>
      </c>
    </row>
    <row r="16" spans="1:35" ht="28.5" x14ac:dyDescent="0.2">
      <c r="A16" s="698" t="s">
        <v>523</v>
      </c>
      <c r="B16" s="91" t="s">
        <v>524</v>
      </c>
      <c r="C16" s="404" t="s">
        <v>525</v>
      </c>
      <c r="D16" s="404" t="s">
        <v>465</v>
      </c>
      <c r="E16" s="404"/>
      <c r="F16" s="382" t="s">
        <v>125</v>
      </c>
      <c r="G16" s="404" t="s">
        <v>526</v>
      </c>
      <c r="H16" s="521" t="s">
        <v>527</v>
      </c>
      <c r="I16" s="404" t="s">
        <v>525</v>
      </c>
      <c r="J16" s="429" t="s">
        <v>523</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528</v>
      </c>
    </row>
    <row r="17" spans="1:33" x14ac:dyDescent="0.2">
      <c r="A17" s="698" t="s">
        <v>529</v>
      </c>
      <c r="B17" s="91" t="s">
        <v>530</v>
      </c>
      <c r="C17" s="404" t="s">
        <v>531</v>
      </c>
      <c r="D17" s="404" t="s">
        <v>465</v>
      </c>
      <c r="E17" s="404" t="s">
        <v>532</v>
      </c>
      <c r="F17" s="382" t="s">
        <v>125</v>
      </c>
      <c r="G17" s="404" t="s">
        <v>533</v>
      </c>
      <c r="H17" s="521" t="s">
        <v>516</v>
      </c>
      <c r="I17" s="404" t="s">
        <v>531</v>
      </c>
      <c r="J17" s="429" t="s">
        <v>529</v>
      </c>
      <c r="K17" s="404" t="s">
        <v>468</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534</v>
      </c>
    </row>
    <row r="18" spans="1:33" x14ac:dyDescent="0.2">
      <c r="A18" s="698" t="s">
        <v>535</v>
      </c>
      <c r="B18" s="91" t="s">
        <v>536</v>
      </c>
      <c r="C18" s="404" t="s">
        <v>537</v>
      </c>
      <c r="D18" s="404" t="s">
        <v>465</v>
      </c>
      <c r="E18" s="404"/>
      <c r="F18" s="382" t="s">
        <v>125</v>
      </c>
      <c r="G18" s="404" t="s">
        <v>538</v>
      </c>
      <c r="H18" s="521" t="s">
        <v>539</v>
      </c>
      <c r="I18" s="404" t="s">
        <v>537</v>
      </c>
      <c r="J18" s="429" t="s">
        <v>535</v>
      </c>
      <c r="K18" s="404" t="s">
        <v>468</v>
      </c>
      <c r="L18" s="404">
        <f t="shared" si="4"/>
        <v>8</v>
      </c>
      <c r="M18" s="517" t="str">
        <f t="shared" si="3"/>
        <v>Bespoke compensation likely to be required 🛠</v>
      </c>
      <c r="N18" s="404" t="s">
        <v>213</v>
      </c>
      <c r="O18" s="404">
        <f t="shared" si="1"/>
        <v>0.33</v>
      </c>
      <c r="P18" s="404" t="s">
        <v>70</v>
      </c>
      <c r="Q18" s="404">
        <f t="shared" si="2"/>
        <v>0.67</v>
      </c>
      <c r="R18" s="382"/>
      <c r="S18" s="404"/>
    </row>
    <row r="19" spans="1:33" x14ac:dyDescent="0.2">
      <c r="A19" s="698" t="s">
        <v>540</v>
      </c>
      <c r="B19" s="91" t="s">
        <v>541</v>
      </c>
      <c r="C19" s="404" t="s">
        <v>542</v>
      </c>
      <c r="D19" s="404" t="s">
        <v>465</v>
      </c>
      <c r="E19" s="404"/>
      <c r="F19" s="382" t="s">
        <v>125</v>
      </c>
      <c r="G19" s="404" t="s">
        <v>542</v>
      </c>
      <c r="H19" s="521" t="s">
        <v>540</v>
      </c>
      <c r="I19" s="382" t="s">
        <v>543</v>
      </c>
      <c r="J19" s="382" t="s">
        <v>540</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x14ac:dyDescent="0.2">
      <c r="A20" s="698" t="s">
        <v>544</v>
      </c>
      <c r="B20" s="91" t="s">
        <v>545</v>
      </c>
      <c r="C20" s="404" t="s">
        <v>546</v>
      </c>
      <c r="D20" s="404" t="s">
        <v>465</v>
      </c>
      <c r="E20" s="404"/>
      <c r="F20" s="382" t="s">
        <v>125</v>
      </c>
      <c r="G20" s="404"/>
      <c r="H20" s="521" t="s">
        <v>516</v>
      </c>
      <c r="I20" s="404" t="s">
        <v>546</v>
      </c>
      <c r="J20" s="404" t="s">
        <v>544</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x14ac:dyDescent="0.2">
      <c r="A21" s="698" t="s">
        <v>547</v>
      </c>
      <c r="B21" s="91" t="s">
        <v>548</v>
      </c>
      <c r="C21" s="404" t="s">
        <v>549</v>
      </c>
      <c r="D21" s="404" t="s">
        <v>465</v>
      </c>
      <c r="E21" s="404"/>
      <c r="F21" s="382" t="s">
        <v>125</v>
      </c>
      <c r="G21" s="404"/>
      <c r="H21" s="521" t="s">
        <v>539</v>
      </c>
      <c r="I21" s="404" t="s">
        <v>549</v>
      </c>
      <c r="J21" s="404" t="s">
        <v>547</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ht="28.5" x14ac:dyDescent="0.2">
      <c r="A22" s="698" t="s">
        <v>550</v>
      </c>
      <c r="B22" s="91" t="s">
        <v>551</v>
      </c>
      <c r="C22" s="404" t="s">
        <v>552</v>
      </c>
      <c r="D22" s="404" t="s">
        <v>465</v>
      </c>
      <c r="E22" s="404"/>
      <c r="F22" s="382" t="s">
        <v>125</v>
      </c>
      <c r="G22" s="404" t="s">
        <v>553</v>
      </c>
      <c r="H22" s="521" t="s">
        <v>554</v>
      </c>
      <c r="I22" s="382"/>
      <c r="J22" s="404" t="s">
        <v>555</v>
      </c>
      <c r="K22" s="404" t="s">
        <v>213</v>
      </c>
      <c r="L22" s="404">
        <f t="shared" si="4"/>
        <v>6</v>
      </c>
      <c r="M22" s="517" t="str">
        <f t="shared" si="3"/>
        <v>Same habitat required =</v>
      </c>
      <c r="N22" s="404" t="s">
        <v>213</v>
      </c>
      <c r="O22" s="404">
        <f t="shared" si="1"/>
        <v>0.33</v>
      </c>
      <c r="P22" s="404" t="s">
        <v>213</v>
      </c>
      <c r="Q22" s="404">
        <f t="shared" si="2"/>
        <v>0.33</v>
      </c>
      <c r="R22" s="382"/>
      <c r="S22" s="404"/>
    </row>
    <row r="23" spans="1:33" x14ac:dyDescent="0.2">
      <c r="A23" s="698" t="s">
        <v>556</v>
      </c>
      <c r="B23" s="91" t="s">
        <v>557</v>
      </c>
      <c r="C23" s="404" t="s">
        <v>558</v>
      </c>
      <c r="D23" s="404" t="s">
        <v>465</v>
      </c>
      <c r="E23" s="404"/>
      <c r="F23" s="382" t="s">
        <v>125</v>
      </c>
      <c r="G23" s="404"/>
      <c r="H23" s="521" t="s">
        <v>516</v>
      </c>
      <c r="I23" s="404" t="s">
        <v>558</v>
      </c>
      <c r="J23" s="429" t="s">
        <v>556</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x14ac:dyDescent="0.2">
      <c r="A24" s="698" t="s">
        <v>559</v>
      </c>
      <c r="B24" s="91" t="s">
        <v>560</v>
      </c>
      <c r="C24" s="404" t="s">
        <v>561</v>
      </c>
      <c r="D24" s="404" t="s">
        <v>465</v>
      </c>
      <c r="E24" s="404"/>
      <c r="F24" s="382" t="s">
        <v>125</v>
      </c>
      <c r="G24" s="404"/>
      <c r="H24" s="521" t="s">
        <v>527</v>
      </c>
      <c r="I24" s="404" t="s">
        <v>561</v>
      </c>
      <c r="J24" s="429" t="s">
        <v>559</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 thickBot="1" x14ac:dyDescent="0.25">
      <c r="A25" s="698" t="s">
        <v>562</v>
      </c>
      <c r="B25" s="178" t="s">
        <v>563</v>
      </c>
      <c r="C25" s="388" t="s">
        <v>564</v>
      </c>
      <c r="D25" s="388" t="s">
        <v>465</v>
      </c>
      <c r="E25" s="388"/>
      <c r="F25" s="371" t="s">
        <v>125</v>
      </c>
      <c r="G25" s="388"/>
      <c r="H25" s="522" t="s">
        <v>539</v>
      </c>
      <c r="I25" s="388" t="s">
        <v>564</v>
      </c>
      <c r="J25" s="431" t="s">
        <v>562</v>
      </c>
      <c r="K25" s="388" t="s">
        <v>468</v>
      </c>
      <c r="L25" s="388">
        <f t="shared" si="4"/>
        <v>8</v>
      </c>
      <c r="M25" s="518" t="str">
        <f t="shared" si="3"/>
        <v>Bespoke compensation likely to be required 🛠</v>
      </c>
      <c r="N25" s="388" t="s">
        <v>213</v>
      </c>
      <c r="O25" s="388">
        <f t="shared" si="1"/>
        <v>0.33</v>
      </c>
      <c r="P25" s="388" t="s">
        <v>70</v>
      </c>
      <c r="Q25" s="388">
        <f t="shared" si="2"/>
        <v>0.67</v>
      </c>
      <c r="R25" s="371"/>
      <c r="S25" s="388"/>
    </row>
    <row r="26" spans="1:33" x14ac:dyDescent="0.2">
      <c r="A26" s="698" t="s">
        <v>565</v>
      </c>
      <c r="B26" s="179" t="s">
        <v>566</v>
      </c>
      <c r="C26" s="383" t="s">
        <v>567</v>
      </c>
      <c r="D26" s="383" t="s">
        <v>465</v>
      </c>
      <c r="E26" s="383"/>
      <c r="F26" s="370" t="s">
        <v>126</v>
      </c>
      <c r="G26" s="383" t="s">
        <v>568</v>
      </c>
      <c r="H26" s="523" t="s">
        <v>569</v>
      </c>
      <c r="I26" s="383" t="s">
        <v>567</v>
      </c>
      <c r="J26" s="383" t="s">
        <v>565</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x14ac:dyDescent="0.2">
      <c r="A27" s="698" t="s">
        <v>570</v>
      </c>
      <c r="B27" s="91" t="s">
        <v>571</v>
      </c>
      <c r="C27" s="404" t="s">
        <v>572</v>
      </c>
      <c r="D27" s="404" t="s">
        <v>465</v>
      </c>
      <c r="E27" s="404"/>
      <c r="F27" s="382" t="s">
        <v>126</v>
      </c>
      <c r="G27" s="404"/>
      <c r="H27" s="521" t="s">
        <v>569</v>
      </c>
      <c r="I27" s="404" t="s">
        <v>572</v>
      </c>
      <c r="J27" s="404" t="s">
        <v>570</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x14ac:dyDescent="0.2">
      <c r="A28" s="698" t="s">
        <v>573</v>
      </c>
      <c r="B28" s="91" t="s">
        <v>574</v>
      </c>
      <c r="C28" s="404" t="s">
        <v>575</v>
      </c>
      <c r="D28" s="404" t="s">
        <v>465</v>
      </c>
      <c r="E28" s="404"/>
      <c r="F28" s="382" t="s">
        <v>126</v>
      </c>
      <c r="G28" s="404"/>
      <c r="H28" s="521" t="s">
        <v>569</v>
      </c>
      <c r="I28" s="404" t="s">
        <v>575</v>
      </c>
      <c r="J28" s="404" t="s">
        <v>573</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x14ac:dyDescent="0.2">
      <c r="A29" s="698" t="s">
        <v>576</v>
      </c>
      <c r="B29" s="91" t="s">
        <v>577</v>
      </c>
      <c r="C29" s="404" t="s">
        <v>578</v>
      </c>
      <c r="D29" s="404" t="s">
        <v>465</v>
      </c>
      <c r="E29" s="404"/>
      <c r="F29" s="382" t="s">
        <v>126</v>
      </c>
      <c r="G29" s="404"/>
      <c r="H29" s="521" t="s">
        <v>569</v>
      </c>
      <c r="I29" s="404" t="s">
        <v>578</v>
      </c>
      <c r="J29" s="404" t="s">
        <v>576</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x14ac:dyDescent="0.2">
      <c r="A30" s="698" t="s">
        <v>579</v>
      </c>
      <c r="B30" s="91" t="s">
        <v>580</v>
      </c>
      <c r="C30" s="404" t="s">
        <v>581</v>
      </c>
      <c r="D30" s="404" t="s">
        <v>465</v>
      </c>
      <c r="E30" s="404"/>
      <c r="F30" s="382" t="s">
        <v>126</v>
      </c>
      <c r="G30" s="404"/>
      <c r="H30" s="521" t="s">
        <v>569</v>
      </c>
      <c r="I30" s="404" t="s">
        <v>581</v>
      </c>
      <c r="J30" s="404" t="s">
        <v>579</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x14ac:dyDescent="0.2">
      <c r="A31" s="698" t="s">
        <v>582</v>
      </c>
      <c r="B31" s="91" t="s">
        <v>583</v>
      </c>
      <c r="C31" s="404" t="s">
        <v>584</v>
      </c>
      <c r="D31" s="404" t="s">
        <v>465</v>
      </c>
      <c r="E31" s="404" t="s">
        <v>585</v>
      </c>
      <c r="F31" s="382" t="s">
        <v>126</v>
      </c>
      <c r="G31" s="404" t="s">
        <v>586</v>
      </c>
      <c r="H31" s="521" t="s">
        <v>587</v>
      </c>
      <c r="I31" s="404" t="s">
        <v>584</v>
      </c>
      <c r="J31" s="429" t="s">
        <v>588</v>
      </c>
      <c r="K31" s="404" t="s">
        <v>213</v>
      </c>
      <c r="L31" s="404">
        <f t="shared" si="4"/>
        <v>6</v>
      </c>
      <c r="M31" s="517" t="str">
        <f t="shared" si="3"/>
        <v>Same habitat required =</v>
      </c>
      <c r="N31" s="404" t="s">
        <v>213</v>
      </c>
      <c r="O31" s="404">
        <f t="shared" si="1"/>
        <v>0.33</v>
      </c>
      <c r="P31" s="404" t="s">
        <v>70</v>
      </c>
      <c r="Q31" s="404">
        <f t="shared" si="2"/>
        <v>0.67</v>
      </c>
      <c r="R31" s="382"/>
      <c r="S31" s="404"/>
    </row>
    <row r="32" spans="1:33" ht="28.5" x14ac:dyDescent="0.2">
      <c r="A32" s="698" t="s">
        <v>589</v>
      </c>
      <c r="B32" s="91" t="s">
        <v>590</v>
      </c>
      <c r="C32" s="404" t="s">
        <v>591</v>
      </c>
      <c r="D32" s="404" t="s">
        <v>465</v>
      </c>
      <c r="E32" s="404"/>
      <c r="F32" s="382" t="s">
        <v>126</v>
      </c>
      <c r="G32" s="404"/>
      <c r="H32" s="521" t="s">
        <v>569</v>
      </c>
      <c r="I32" s="404" t="s">
        <v>591</v>
      </c>
      <c r="J32" s="404" t="s">
        <v>589</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592</v>
      </c>
      <c r="S32" s="404"/>
    </row>
    <row r="33" spans="1:19" ht="28.5" x14ac:dyDescent="0.2">
      <c r="A33" s="698" t="s">
        <v>593</v>
      </c>
      <c r="B33" s="91" t="s">
        <v>594</v>
      </c>
      <c r="C33" s="404" t="s">
        <v>595</v>
      </c>
      <c r="D33" s="404" t="s">
        <v>465</v>
      </c>
      <c r="E33" s="404"/>
      <c r="F33" s="382" t="s">
        <v>126</v>
      </c>
      <c r="G33" s="404"/>
      <c r="H33" s="521" t="s">
        <v>587</v>
      </c>
      <c r="I33" s="404" t="s">
        <v>595</v>
      </c>
      <c r="J33" s="429" t="s">
        <v>593</v>
      </c>
      <c r="K33" s="404" t="s">
        <v>468</v>
      </c>
      <c r="L33" s="404">
        <f t="shared" si="4"/>
        <v>8</v>
      </c>
      <c r="M33" s="517" t="str">
        <f t="shared" si="3"/>
        <v>Bespoke compensation likely to be required 🛠</v>
      </c>
      <c r="N33" s="404" t="s">
        <v>213</v>
      </c>
      <c r="O33" s="404">
        <f t="shared" si="1"/>
        <v>0.33</v>
      </c>
      <c r="P33" s="404" t="s">
        <v>213</v>
      </c>
      <c r="Q33" s="404">
        <f t="shared" si="2"/>
        <v>0.33</v>
      </c>
      <c r="R33" s="382"/>
      <c r="S33" s="404"/>
    </row>
    <row r="34" spans="1:19" x14ac:dyDescent="0.2">
      <c r="A34" s="698" t="s">
        <v>596</v>
      </c>
      <c r="B34" s="91" t="s">
        <v>597</v>
      </c>
      <c r="C34" s="404" t="s">
        <v>598</v>
      </c>
      <c r="D34" s="404" t="s">
        <v>465</v>
      </c>
      <c r="E34" s="404"/>
      <c r="F34" s="382" t="s">
        <v>126</v>
      </c>
      <c r="G34" s="404"/>
      <c r="H34" s="521" t="s">
        <v>569</v>
      </c>
      <c r="I34" s="404" t="s">
        <v>598</v>
      </c>
      <c r="J34" s="404" t="s">
        <v>596</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28.5" x14ac:dyDescent="0.2">
      <c r="A35" s="698" t="s">
        <v>599</v>
      </c>
      <c r="B35" s="91" t="s">
        <v>600</v>
      </c>
      <c r="C35" s="404" t="s">
        <v>601</v>
      </c>
      <c r="D35" s="404" t="s">
        <v>465</v>
      </c>
      <c r="E35" s="404"/>
      <c r="F35" s="382" t="s">
        <v>126</v>
      </c>
      <c r="G35" s="404"/>
      <c r="H35" s="521" t="s">
        <v>569</v>
      </c>
      <c r="I35" s="404" t="s">
        <v>602</v>
      </c>
      <c r="J35" s="404" t="s">
        <v>603</v>
      </c>
      <c r="K35" s="404" t="s">
        <v>213</v>
      </c>
      <c r="L35" s="404">
        <f t="shared" si="4"/>
        <v>6</v>
      </c>
      <c r="M35" s="517" t="str">
        <f t="shared" si="3"/>
        <v>Same habitat required =</v>
      </c>
      <c r="N35" s="404" t="s">
        <v>70</v>
      </c>
      <c r="O35" s="404">
        <f t="shared" si="5"/>
        <v>0.67</v>
      </c>
      <c r="P35" s="404" t="s">
        <v>216</v>
      </c>
      <c r="Q35" s="404">
        <f t="shared" si="6"/>
        <v>1</v>
      </c>
      <c r="R35" s="382"/>
      <c r="S35" s="404"/>
    </row>
    <row r="36" spans="1:19" x14ac:dyDescent="0.2">
      <c r="A36" s="698" t="s">
        <v>604</v>
      </c>
      <c r="B36" s="91" t="s">
        <v>605</v>
      </c>
      <c r="C36" s="404" t="s">
        <v>606</v>
      </c>
      <c r="D36" s="404" t="s">
        <v>465</v>
      </c>
      <c r="E36" s="404"/>
      <c r="F36" s="382" t="s">
        <v>126</v>
      </c>
      <c r="G36" s="404"/>
      <c r="H36" s="521" t="s">
        <v>569</v>
      </c>
      <c r="I36" s="404" t="s">
        <v>602</v>
      </c>
      <c r="J36" s="404" t="s">
        <v>607</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x14ac:dyDescent="0.2">
      <c r="A37" s="698" t="s">
        <v>608</v>
      </c>
      <c r="B37" s="558" t="s">
        <v>609</v>
      </c>
      <c r="C37" s="559" t="s">
        <v>610</v>
      </c>
      <c r="D37" s="559" t="s">
        <v>465</v>
      </c>
      <c r="E37" s="559"/>
      <c r="F37" s="395" t="s">
        <v>126</v>
      </c>
      <c r="G37" s="559"/>
      <c r="H37" s="560" t="s">
        <v>569</v>
      </c>
      <c r="I37" s="559" t="s">
        <v>610</v>
      </c>
      <c r="J37" s="559" t="s">
        <v>608</v>
      </c>
      <c r="K37" s="559" t="s">
        <v>70</v>
      </c>
      <c r="L37" s="559">
        <v>4</v>
      </c>
      <c r="M37" s="561" t="s">
        <v>215</v>
      </c>
      <c r="N37" s="559" t="s">
        <v>70</v>
      </c>
      <c r="O37" s="559">
        <v>0.67</v>
      </c>
      <c r="P37" s="559" t="s">
        <v>216</v>
      </c>
      <c r="Q37" s="559">
        <v>1</v>
      </c>
      <c r="R37" s="395"/>
      <c r="S37" s="559"/>
    </row>
    <row r="38" spans="1:19" ht="15" thickBot="1" x14ac:dyDescent="0.25">
      <c r="A38" s="698" t="s">
        <v>611</v>
      </c>
      <c r="B38" s="178" t="s">
        <v>612</v>
      </c>
      <c r="C38" s="388" t="s">
        <v>613</v>
      </c>
      <c r="D38" s="388" t="s">
        <v>465</v>
      </c>
      <c r="E38" s="388"/>
      <c r="F38" s="371" t="s">
        <v>126</v>
      </c>
      <c r="G38" s="388"/>
      <c r="H38" s="522" t="s">
        <v>587</v>
      </c>
      <c r="I38" s="388" t="s">
        <v>613</v>
      </c>
      <c r="J38" s="431" t="s">
        <v>614</v>
      </c>
      <c r="K38" s="388" t="s">
        <v>213</v>
      </c>
      <c r="L38" s="388">
        <f t="shared" si="4"/>
        <v>6</v>
      </c>
      <c r="M38" s="518" t="str">
        <f t="shared" si="3"/>
        <v>Same habitat required =</v>
      </c>
      <c r="N38" s="388" t="s">
        <v>70</v>
      </c>
      <c r="O38" s="388">
        <f t="shared" si="5"/>
        <v>0.67</v>
      </c>
      <c r="P38" s="388" t="s">
        <v>70</v>
      </c>
      <c r="Q38" s="388">
        <f t="shared" si="6"/>
        <v>0.67</v>
      </c>
      <c r="R38" s="371"/>
      <c r="S38" s="388"/>
    </row>
    <row r="39" spans="1:19" ht="28.5" x14ac:dyDescent="0.2">
      <c r="A39" s="698" t="s">
        <v>615</v>
      </c>
      <c r="B39" s="179" t="s">
        <v>616</v>
      </c>
      <c r="C39" s="383" t="s">
        <v>617</v>
      </c>
      <c r="D39" s="383" t="s">
        <v>618</v>
      </c>
      <c r="E39" s="383"/>
      <c r="F39" s="370" t="s">
        <v>127</v>
      </c>
      <c r="G39" s="383"/>
      <c r="H39" s="523" t="s">
        <v>619</v>
      </c>
      <c r="I39" s="383" t="s">
        <v>617</v>
      </c>
      <c r="J39" s="432" t="s">
        <v>615</v>
      </c>
      <c r="K39" s="383" t="s">
        <v>468</v>
      </c>
      <c r="L39" s="383">
        <f t="shared" si="4"/>
        <v>8</v>
      </c>
      <c r="M39" s="519" t="str">
        <f t="shared" si="3"/>
        <v>Bespoke compensation likely to be required 🛠</v>
      </c>
      <c r="N39" s="383" t="s">
        <v>211</v>
      </c>
      <c r="O39" s="383">
        <f t="shared" si="5"/>
        <v>0.1</v>
      </c>
      <c r="P39" s="383" t="s">
        <v>213</v>
      </c>
      <c r="Q39" s="383">
        <f t="shared" si="6"/>
        <v>0.33</v>
      </c>
      <c r="R39" s="370"/>
      <c r="S39" s="383"/>
    </row>
    <row r="40" spans="1:19" x14ac:dyDescent="0.2">
      <c r="A40" s="698" t="s">
        <v>620</v>
      </c>
      <c r="B40" s="91" t="s">
        <v>621</v>
      </c>
      <c r="C40" s="404">
        <v>362</v>
      </c>
      <c r="D40" s="404" t="s">
        <v>465</v>
      </c>
      <c r="E40" s="404"/>
      <c r="F40" s="370" t="s">
        <v>127</v>
      </c>
      <c r="G40" s="404"/>
      <c r="H40" s="521" t="s">
        <v>622</v>
      </c>
      <c r="I40" s="404"/>
      <c r="J40" s="404" t="s">
        <v>620</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x14ac:dyDescent="0.2">
      <c r="A41" s="698" t="s">
        <v>623</v>
      </c>
      <c r="B41" s="91" t="s">
        <v>624</v>
      </c>
      <c r="C41" s="404" t="s">
        <v>625</v>
      </c>
      <c r="D41" s="404" t="s">
        <v>618</v>
      </c>
      <c r="E41" s="404"/>
      <c r="F41" s="382" t="s">
        <v>127</v>
      </c>
      <c r="G41" s="404"/>
      <c r="H41" s="521" t="s">
        <v>619</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x14ac:dyDescent="0.2">
      <c r="A42" s="698" t="s">
        <v>626</v>
      </c>
      <c r="B42" s="91" t="s">
        <v>627</v>
      </c>
      <c r="C42" s="404" t="s">
        <v>628</v>
      </c>
      <c r="D42" s="404" t="s">
        <v>618</v>
      </c>
      <c r="E42" s="404"/>
      <c r="F42" s="382" t="s">
        <v>127</v>
      </c>
      <c r="G42" s="404"/>
      <c r="H42" s="521" t="s">
        <v>619</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x14ac:dyDescent="0.2">
      <c r="A43" s="698" t="s">
        <v>629</v>
      </c>
      <c r="B43" s="91" t="s">
        <v>630</v>
      </c>
      <c r="C43" s="404" t="s">
        <v>631</v>
      </c>
      <c r="D43" s="404" t="s">
        <v>618</v>
      </c>
      <c r="E43" s="404"/>
      <c r="F43" s="382" t="s">
        <v>127</v>
      </c>
      <c r="G43" s="404"/>
      <c r="H43" s="521" t="s">
        <v>619</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x14ac:dyDescent="0.2">
      <c r="A44" s="698" t="s">
        <v>632</v>
      </c>
      <c r="B44" s="91" t="s">
        <v>633</v>
      </c>
      <c r="C44" s="404" t="s">
        <v>634</v>
      </c>
      <c r="D44" s="404" t="s">
        <v>618</v>
      </c>
      <c r="E44" s="404"/>
      <c r="F44" s="382" t="s">
        <v>127</v>
      </c>
      <c r="G44" s="404"/>
      <c r="H44" s="521" t="s">
        <v>619</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x14ac:dyDescent="0.2">
      <c r="A45" s="698" t="s">
        <v>635</v>
      </c>
      <c r="B45" s="91" t="s">
        <v>636</v>
      </c>
      <c r="C45" s="404" t="s">
        <v>637</v>
      </c>
      <c r="D45" s="404" t="s">
        <v>618</v>
      </c>
      <c r="E45" s="404"/>
      <c r="F45" s="382" t="s">
        <v>127</v>
      </c>
      <c r="G45" s="404"/>
      <c r="H45" s="521" t="s">
        <v>619</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x14ac:dyDescent="0.2">
      <c r="A46" s="698" t="s">
        <v>638</v>
      </c>
      <c r="B46" s="91" t="s">
        <v>639</v>
      </c>
      <c r="C46" s="404" t="s">
        <v>640</v>
      </c>
      <c r="D46" s="404" t="s">
        <v>618</v>
      </c>
      <c r="E46" s="404"/>
      <c r="F46" s="382" t="s">
        <v>127</v>
      </c>
      <c r="G46" s="404"/>
      <c r="H46" s="521" t="s">
        <v>619</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x14ac:dyDescent="0.2">
      <c r="A47" s="698" t="s">
        <v>641</v>
      </c>
      <c r="B47" s="91" t="s">
        <v>642</v>
      </c>
      <c r="C47" s="404" t="s">
        <v>643</v>
      </c>
      <c r="D47" s="404" t="s">
        <v>618</v>
      </c>
      <c r="E47" s="404"/>
      <c r="F47" s="382" t="s">
        <v>127</v>
      </c>
      <c r="G47" s="404"/>
      <c r="H47" s="521" t="s">
        <v>619</v>
      </c>
      <c r="I47" s="404" t="s">
        <v>644</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x14ac:dyDescent="0.2">
      <c r="A48" s="698" t="s">
        <v>645</v>
      </c>
      <c r="B48" s="91" t="s">
        <v>646</v>
      </c>
      <c r="C48" s="404">
        <v>108</v>
      </c>
      <c r="D48" s="404" t="s">
        <v>618</v>
      </c>
      <c r="E48" s="404"/>
      <c r="F48" s="382" t="s">
        <v>127</v>
      </c>
      <c r="G48" s="404"/>
      <c r="H48" s="521" t="s">
        <v>619</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29.25" thickBot="1" x14ac:dyDescent="0.25">
      <c r="A49" s="698" t="s">
        <v>647</v>
      </c>
      <c r="B49" s="178" t="s">
        <v>648</v>
      </c>
      <c r="C49" s="404" t="s">
        <v>649</v>
      </c>
      <c r="D49" s="388" t="s">
        <v>618</v>
      </c>
      <c r="E49" s="388"/>
      <c r="F49" s="371" t="s">
        <v>127</v>
      </c>
      <c r="G49" s="388"/>
      <c r="H49" s="522" t="s">
        <v>619</v>
      </c>
      <c r="I49" s="388" t="s">
        <v>650</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x14ac:dyDescent="0.2">
      <c r="A50" s="698" t="s">
        <v>651</v>
      </c>
      <c r="B50" s="179" t="s">
        <v>652</v>
      </c>
      <c r="C50" s="383" t="s">
        <v>653</v>
      </c>
      <c r="D50" s="383" t="s">
        <v>618</v>
      </c>
      <c r="E50" s="383"/>
      <c r="F50" s="370" t="s">
        <v>128</v>
      </c>
      <c r="G50" s="383"/>
      <c r="H50" s="523" t="s">
        <v>654</v>
      </c>
      <c r="I50" s="383"/>
      <c r="J50" s="432" t="s">
        <v>651</v>
      </c>
      <c r="K50" s="383" t="s">
        <v>468</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x14ac:dyDescent="0.2">
      <c r="A51" s="698" t="s">
        <v>655</v>
      </c>
      <c r="B51" s="91" t="s">
        <v>656</v>
      </c>
      <c r="C51" s="404" t="s">
        <v>657</v>
      </c>
      <c r="D51" s="404" t="s">
        <v>618</v>
      </c>
      <c r="E51" s="404"/>
      <c r="F51" s="382" t="s">
        <v>128</v>
      </c>
      <c r="G51" s="404"/>
      <c r="H51" s="521" t="s">
        <v>658</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x14ac:dyDescent="0.2">
      <c r="A52" s="698" t="s">
        <v>659</v>
      </c>
      <c r="B52" s="91" t="s">
        <v>660</v>
      </c>
      <c r="C52" s="404" t="s">
        <v>661</v>
      </c>
      <c r="D52" s="404" t="s">
        <v>465</v>
      </c>
      <c r="E52" s="404"/>
      <c r="F52" s="382" t="s">
        <v>128</v>
      </c>
      <c r="G52" s="404"/>
      <c r="H52" s="521" t="s">
        <v>658</v>
      </c>
      <c r="I52" s="404" t="s">
        <v>653</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ht="28.5" x14ac:dyDescent="0.2">
      <c r="A53" s="698" t="s">
        <v>662</v>
      </c>
      <c r="B53" s="91" t="s">
        <v>663</v>
      </c>
      <c r="C53" s="404">
        <v>17</v>
      </c>
      <c r="D53" s="404" t="s">
        <v>465</v>
      </c>
      <c r="E53" s="404"/>
      <c r="F53" s="382" t="s">
        <v>128</v>
      </c>
      <c r="G53" s="404"/>
      <c r="H53" s="521"/>
      <c r="I53" s="404"/>
      <c r="J53" s="404" t="s">
        <v>664</v>
      </c>
      <c r="K53" s="404" t="s">
        <v>216</v>
      </c>
      <c r="L53" s="404">
        <f t="shared" si="8"/>
        <v>2</v>
      </c>
      <c r="M53" s="517" t="str">
        <f t="shared" si="3"/>
        <v>Same distinctiveness or better habitat required ≥</v>
      </c>
      <c r="N53" s="404" t="s">
        <v>216</v>
      </c>
      <c r="O53" s="404">
        <f t="shared" si="5"/>
        <v>1</v>
      </c>
      <c r="P53" s="404" t="s">
        <v>70</v>
      </c>
      <c r="Q53" s="404">
        <f t="shared" si="6"/>
        <v>0.67</v>
      </c>
      <c r="R53" s="382" t="s">
        <v>665</v>
      </c>
      <c r="S53" s="404"/>
    </row>
    <row r="54" spans="1:19" x14ac:dyDescent="0.2">
      <c r="A54" s="698" t="s">
        <v>666</v>
      </c>
      <c r="B54" s="91" t="s">
        <v>667</v>
      </c>
      <c r="C54" s="404">
        <v>16</v>
      </c>
      <c r="D54" s="404" t="s">
        <v>465</v>
      </c>
      <c r="E54" s="404"/>
      <c r="F54" s="382" t="s">
        <v>128</v>
      </c>
      <c r="G54" s="404"/>
      <c r="H54" s="521"/>
      <c r="I54" s="404"/>
      <c r="J54" s="404" t="s">
        <v>664</v>
      </c>
      <c r="K54" s="404" t="s">
        <v>216</v>
      </c>
      <c r="L54" s="404">
        <v>2</v>
      </c>
      <c r="M54" s="517" t="str">
        <f t="shared" si="3"/>
        <v>Same distinctiveness or better habitat required ≥</v>
      </c>
      <c r="N54" s="404" t="s">
        <v>216</v>
      </c>
      <c r="O54" s="404">
        <v>1</v>
      </c>
      <c r="P54" s="404" t="s">
        <v>70</v>
      </c>
      <c r="Q54" s="404">
        <v>0.67</v>
      </c>
      <c r="R54" s="382"/>
      <c r="S54" s="404"/>
    </row>
    <row r="55" spans="1:19" ht="28.5" x14ac:dyDescent="0.2">
      <c r="A55" s="698" t="s">
        <v>668</v>
      </c>
      <c r="B55" s="91" t="s">
        <v>669</v>
      </c>
      <c r="C55" s="404" t="s">
        <v>670</v>
      </c>
      <c r="D55" s="404" t="s">
        <v>465</v>
      </c>
      <c r="E55" s="404" t="s">
        <v>671</v>
      </c>
      <c r="F55" s="382" t="s">
        <v>128</v>
      </c>
      <c r="G55" s="404" t="s">
        <v>672</v>
      </c>
      <c r="H55" s="521" t="s">
        <v>654</v>
      </c>
      <c r="I55" s="404" t="s">
        <v>670</v>
      </c>
      <c r="J55" s="429" t="s">
        <v>668</v>
      </c>
      <c r="K55" s="404" t="s">
        <v>213</v>
      </c>
      <c r="L55" s="404">
        <f t="shared" si="8"/>
        <v>6</v>
      </c>
      <c r="M55" s="517" t="str">
        <f t="shared" si="3"/>
        <v>Same habitat required =</v>
      </c>
      <c r="N55" s="404" t="s">
        <v>213</v>
      </c>
      <c r="O55" s="404">
        <f t="shared" si="5"/>
        <v>0.33</v>
      </c>
      <c r="P55" s="404" t="s">
        <v>216</v>
      </c>
      <c r="Q55" s="404">
        <f t="shared" si="6"/>
        <v>1</v>
      </c>
      <c r="R55" s="382"/>
      <c r="S55" s="404"/>
    </row>
    <row r="56" spans="1:19" x14ac:dyDescent="0.2">
      <c r="A56" s="698" t="s">
        <v>673</v>
      </c>
      <c r="B56" s="91" t="s">
        <v>674</v>
      </c>
      <c r="C56" s="404" t="s">
        <v>675</v>
      </c>
      <c r="D56" s="404" t="s">
        <v>465</v>
      </c>
      <c r="E56" s="404"/>
      <c r="F56" s="382" t="s">
        <v>128</v>
      </c>
      <c r="G56" s="404"/>
      <c r="H56" s="521" t="s">
        <v>654</v>
      </c>
      <c r="I56" s="404" t="s">
        <v>675</v>
      </c>
      <c r="J56" s="429" t="s">
        <v>673</v>
      </c>
      <c r="K56" s="404" t="s">
        <v>468</v>
      </c>
      <c r="L56" s="404">
        <f t="shared" si="8"/>
        <v>8</v>
      </c>
      <c r="M56" s="517" t="str">
        <f t="shared" si="3"/>
        <v>Bespoke compensation likely to be required 🛠</v>
      </c>
      <c r="N56" s="404" t="s">
        <v>211</v>
      </c>
      <c r="O56" s="404">
        <f t="shared" si="5"/>
        <v>0.1</v>
      </c>
      <c r="P56" s="404" t="s">
        <v>70</v>
      </c>
      <c r="Q56" s="404">
        <f t="shared" si="6"/>
        <v>0.67</v>
      </c>
      <c r="R56" s="382"/>
      <c r="S56" s="404"/>
    </row>
    <row r="57" spans="1:19" x14ac:dyDescent="0.2">
      <c r="A57" s="698" t="s">
        <v>676</v>
      </c>
      <c r="B57" s="91" t="s">
        <v>677</v>
      </c>
      <c r="C57" s="404" t="s">
        <v>678</v>
      </c>
      <c r="D57" s="404" t="s">
        <v>465</v>
      </c>
      <c r="E57" s="404"/>
      <c r="F57" s="382" t="s">
        <v>128</v>
      </c>
      <c r="G57" s="404" t="s">
        <v>679</v>
      </c>
      <c r="H57" s="521" t="s">
        <v>680</v>
      </c>
      <c r="I57" s="404" t="s">
        <v>678</v>
      </c>
      <c r="J57" s="429" t="s">
        <v>676</v>
      </c>
      <c r="K57" s="404" t="s">
        <v>213</v>
      </c>
      <c r="L57" s="404">
        <f t="shared" si="8"/>
        <v>6</v>
      </c>
      <c r="M57" s="517" t="str">
        <f t="shared" si="3"/>
        <v>Same habitat required =</v>
      </c>
      <c r="N57" s="404" t="s">
        <v>213</v>
      </c>
      <c r="O57" s="404">
        <f t="shared" si="5"/>
        <v>0.33</v>
      </c>
      <c r="P57" s="404" t="s">
        <v>70</v>
      </c>
      <c r="Q57" s="404">
        <f t="shared" si="6"/>
        <v>0.67</v>
      </c>
      <c r="R57" s="382"/>
      <c r="S57" s="404"/>
    </row>
    <row r="58" spans="1:19" ht="15" thickBot="1" x14ac:dyDescent="0.25">
      <c r="A58" s="698" t="s">
        <v>681</v>
      </c>
      <c r="B58" s="178" t="s">
        <v>682</v>
      </c>
      <c r="C58" s="388" t="s">
        <v>683</v>
      </c>
      <c r="D58" s="388" t="s">
        <v>465</v>
      </c>
      <c r="E58" s="388"/>
      <c r="F58" s="371" t="s">
        <v>128</v>
      </c>
      <c r="G58" s="388"/>
      <c r="H58" s="522" t="s">
        <v>654</v>
      </c>
      <c r="I58" s="388" t="s">
        <v>683</v>
      </c>
      <c r="J58" s="388" t="s">
        <v>681</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x14ac:dyDescent="0.2">
      <c r="A59" s="698" t="s">
        <v>684</v>
      </c>
      <c r="B59" s="179" t="s">
        <v>685</v>
      </c>
      <c r="C59" s="383">
        <v>910</v>
      </c>
      <c r="D59" s="383" t="s">
        <v>465</v>
      </c>
      <c r="E59" s="383"/>
      <c r="F59" s="370" t="s">
        <v>129</v>
      </c>
      <c r="G59" s="383"/>
      <c r="H59" s="523" t="s">
        <v>622</v>
      </c>
      <c r="I59" s="383"/>
      <c r="J59" s="383" t="s">
        <v>684</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28.5" x14ac:dyDescent="0.2">
      <c r="A60" s="698" t="s">
        <v>686</v>
      </c>
      <c r="B60" s="91" t="s">
        <v>687</v>
      </c>
      <c r="C60" s="404" t="s">
        <v>688</v>
      </c>
      <c r="D60" s="404" t="s">
        <v>465</v>
      </c>
      <c r="E60" s="404"/>
      <c r="F60" s="382" t="s">
        <v>129</v>
      </c>
      <c r="G60" s="404"/>
      <c r="H60" s="521" t="s">
        <v>622</v>
      </c>
      <c r="I60" s="404" t="s">
        <v>688</v>
      </c>
      <c r="J60" s="404" t="s">
        <v>686</v>
      </c>
      <c r="K60" s="404" t="s">
        <v>487</v>
      </c>
      <c r="L60" s="404">
        <f t="shared" si="8"/>
        <v>0</v>
      </c>
      <c r="M60" s="517" t="str">
        <f t="shared" si="3"/>
        <v>Compensation Not Required</v>
      </c>
      <c r="N60" s="404" t="s">
        <v>216</v>
      </c>
      <c r="O60" s="404">
        <f t="shared" si="5"/>
        <v>1</v>
      </c>
      <c r="P60" s="404" t="s">
        <v>216</v>
      </c>
      <c r="Q60" s="404">
        <f t="shared" si="6"/>
        <v>1</v>
      </c>
      <c r="R60" s="382"/>
      <c r="S60" s="404"/>
    </row>
    <row r="61" spans="1:19" x14ac:dyDescent="0.2">
      <c r="A61" s="698" t="s">
        <v>689</v>
      </c>
      <c r="B61" s="91" t="s">
        <v>690</v>
      </c>
      <c r="C61" s="404">
        <v>1191</v>
      </c>
      <c r="D61" s="404" t="s">
        <v>465</v>
      </c>
      <c r="E61" s="404"/>
      <c r="F61" s="382" t="s">
        <v>129</v>
      </c>
      <c r="G61" s="404"/>
      <c r="H61" s="521" t="s">
        <v>622</v>
      </c>
      <c r="I61" s="404"/>
      <c r="J61" s="404" t="s">
        <v>689</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x14ac:dyDescent="0.2">
      <c r="A62" s="698" t="s">
        <v>691</v>
      </c>
      <c r="B62" s="91" t="s">
        <v>692</v>
      </c>
      <c r="C62" s="404" t="s">
        <v>693</v>
      </c>
      <c r="D62" s="404" t="s">
        <v>465</v>
      </c>
      <c r="E62" s="404"/>
      <c r="F62" s="382" t="s">
        <v>129</v>
      </c>
      <c r="G62" s="404"/>
      <c r="H62" s="521" t="s">
        <v>622</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x14ac:dyDescent="0.2">
      <c r="A63" s="698" t="s">
        <v>694</v>
      </c>
      <c r="B63" s="91" t="s">
        <v>695</v>
      </c>
      <c r="C63" s="404" t="s">
        <v>696</v>
      </c>
      <c r="D63" s="404" t="s">
        <v>465</v>
      </c>
      <c r="E63" s="404"/>
      <c r="F63" s="382" t="s">
        <v>129</v>
      </c>
      <c r="G63" s="404"/>
      <c r="H63" s="521" t="s">
        <v>622</v>
      </c>
      <c r="I63" s="404" t="s">
        <v>696</v>
      </c>
      <c r="J63" s="404" t="s">
        <v>694</v>
      </c>
      <c r="K63" s="404" t="s">
        <v>487</v>
      </c>
      <c r="L63" s="404">
        <f t="shared" si="8"/>
        <v>0</v>
      </c>
      <c r="M63" s="517" t="str">
        <f t="shared" si="3"/>
        <v>Compensation Not Required</v>
      </c>
      <c r="N63" s="404" t="s">
        <v>216</v>
      </c>
      <c r="O63" s="404">
        <f t="shared" si="5"/>
        <v>1</v>
      </c>
      <c r="P63" s="404" t="s">
        <v>216</v>
      </c>
      <c r="Q63" s="404">
        <f t="shared" si="6"/>
        <v>1</v>
      </c>
      <c r="R63" s="382"/>
      <c r="S63" s="404"/>
    </row>
    <row r="64" spans="1:19" x14ac:dyDescent="0.2">
      <c r="A64" s="698" t="s">
        <v>697</v>
      </c>
      <c r="B64" s="91" t="s">
        <v>698</v>
      </c>
      <c r="C64" s="404">
        <v>800</v>
      </c>
      <c r="D64" s="404" t="s">
        <v>465</v>
      </c>
      <c r="E64" s="404"/>
      <c r="F64" s="382" t="s">
        <v>129</v>
      </c>
      <c r="G64" s="404"/>
      <c r="H64" s="521" t="s">
        <v>622</v>
      </c>
      <c r="I64" s="404"/>
      <c r="J64" s="404" t="s">
        <v>697</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ht="28.5" x14ac:dyDescent="0.2">
      <c r="A65" s="698" t="s">
        <v>699</v>
      </c>
      <c r="B65" s="91" t="s">
        <v>700</v>
      </c>
      <c r="C65" s="404" t="s">
        <v>701</v>
      </c>
      <c r="D65" s="404" t="s">
        <v>465</v>
      </c>
      <c r="E65" s="404"/>
      <c r="F65" s="382" t="s">
        <v>129</v>
      </c>
      <c r="G65" s="404"/>
      <c r="H65" s="521" t="s">
        <v>622</v>
      </c>
      <c r="I65" s="404" t="s">
        <v>701</v>
      </c>
      <c r="J65" s="404" t="s">
        <v>699</v>
      </c>
      <c r="K65" s="404" t="s">
        <v>487</v>
      </c>
      <c r="L65" s="404">
        <f t="shared" si="8"/>
        <v>0</v>
      </c>
      <c r="M65" s="517" t="str">
        <f t="shared" si="3"/>
        <v>Compensation Not Required</v>
      </c>
      <c r="N65" s="404" t="s">
        <v>216</v>
      </c>
      <c r="O65" s="404">
        <f t="shared" si="5"/>
        <v>1</v>
      </c>
      <c r="P65" s="404" t="s">
        <v>70</v>
      </c>
      <c r="Q65" s="404">
        <f t="shared" si="6"/>
        <v>0.67</v>
      </c>
      <c r="R65" s="382"/>
      <c r="S65" s="404"/>
    </row>
    <row r="66" spans="1:36" x14ac:dyDescent="0.2">
      <c r="A66" s="698" t="s">
        <v>702</v>
      </c>
      <c r="B66" s="91" t="s">
        <v>703</v>
      </c>
      <c r="C66" s="404" t="s">
        <v>704</v>
      </c>
      <c r="D66" s="404" t="s">
        <v>465</v>
      </c>
      <c r="E66" s="404"/>
      <c r="F66" s="382" t="s">
        <v>129</v>
      </c>
      <c r="G66" s="404"/>
      <c r="H66" s="521" t="s">
        <v>622</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x14ac:dyDescent="0.2">
      <c r="A67" s="698" t="s">
        <v>705</v>
      </c>
      <c r="B67" s="91" t="s">
        <v>706</v>
      </c>
      <c r="C67" s="404">
        <v>1122</v>
      </c>
      <c r="D67" s="404" t="s">
        <v>465</v>
      </c>
      <c r="E67" s="404"/>
      <c r="F67" s="382" t="s">
        <v>129</v>
      </c>
      <c r="G67" s="404"/>
      <c r="H67" s="521" t="s">
        <v>622</v>
      </c>
      <c r="I67" s="404"/>
      <c r="J67" s="404" t="s">
        <v>707</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x14ac:dyDescent="0.2">
      <c r="A68" s="698" t="s">
        <v>708</v>
      </c>
      <c r="B68" s="91" t="s">
        <v>709</v>
      </c>
      <c r="C68" s="404">
        <v>1121</v>
      </c>
      <c r="D68" s="404" t="s">
        <v>465</v>
      </c>
      <c r="E68" s="404"/>
      <c r="F68" s="382" t="s">
        <v>129</v>
      </c>
      <c r="G68" s="404"/>
      <c r="H68" s="521" t="s">
        <v>622</v>
      </c>
      <c r="I68" s="404"/>
      <c r="J68" s="404" t="s">
        <v>708</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x14ac:dyDescent="0.2">
      <c r="A69" s="698" t="s">
        <v>710</v>
      </c>
      <c r="B69" s="91" t="s">
        <v>711</v>
      </c>
      <c r="C69" s="404">
        <v>1140</v>
      </c>
      <c r="D69" s="404" t="s">
        <v>465</v>
      </c>
      <c r="E69" s="404"/>
      <c r="F69" s="382" t="s">
        <v>129</v>
      </c>
      <c r="G69" s="404"/>
      <c r="H69" s="521" t="s">
        <v>622</v>
      </c>
      <c r="I69" s="404"/>
      <c r="J69" s="404" t="s">
        <v>710</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x14ac:dyDescent="0.2">
      <c r="A70" s="698" t="s">
        <v>712</v>
      </c>
      <c r="B70" s="91" t="s">
        <v>713</v>
      </c>
      <c r="C70" s="404" t="s">
        <v>714</v>
      </c>
      <c r="D70" s="404" t="s">
        <v>465</v>
      </c>
      <c r="E70" s="404"/>
      <c r="F70" s="382" t="s">
        <v>129</v>
      </c>
      <c r="G70" s="404"/>
      <c r="H70" s="521" t="s">
        <v>622</v>
      </c>
      <c r="I70" s="404"/>
      <c r="J70" s="404" t="s">
        <v>691</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x14ac:dyDescent="0.2">
      <c r="A71" s="698" t="s">
        <v>715</v>
      </c>
      <c r="B71" s="91" t="s">
        <v>716</v>
      </c>
      <c r="C71" s="404">
        <v>1160</v>
      </c>
      <c r="D71" s="404" t="s">
        <v>465</v>
      </c>
      <c r="E71" s="404"/>
      <c r="F71" s="382" t="s">
        <v>129</v>
      </c>
      <c r="G71" s="404"/>
      <c r="H71" s="521" t="s">
        <v>622</v>
      </c>
      <c r="I71" s="404"/>
      <c r="J71" s="404" t="s">
        <v>715</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28.5" x14ac:dyDescent="0.2">
      <c r="A72" s="698" t="s">
        <v>717</v>
      </c>
      <c r="B72" s="91" t="s">
        <v>718</v>
      </c>
      <c r="C72" s="404" t="s">
        <v>719</v>
      </c>
      <c r="D72" s="404" t="s">
        <v>465</v>
      </c>
      <c r="E72" s="404" t="s">
        <v>720</v>
      </c>
      <c r="F72" s="382" t="s">
        <v>129</v>
      </c>
      <c r="G72" s="404" t="s">
        <v>721</v>
      </c>
      <c r="H72" s="521" t="s">
        <v>622</v>
      </c>
      <c r="I72" s="404" t="s">
        <v>719</v>
      </c>
      <c r="J72" s="429" t="s">
        <v>722</v>
      </c>
      <c r="K72" s="404" t="s">
        <v>213</v>
      </c>
      <c r="L72" s="404">
        <f t="shared" si="8"/>
        <v>6</v>
      </c>
      <c r="M72" s="517" t="str">
        <f t="shared" si="3"/>
        <v>Same habitat required =</v>
      </c>
      <c r="N72" s="404" t="s">
        <v>70</v>
      </c>
      <c r="O72" s="404">
        <f t="shared" si="9"/>
        <v>0.67</v>
      </c>
      <c r="P72" s="404" t="s">
        <v>70</v>
      </c>
      <c r="Q72" s="404">
        <f t="shared" si="10"/>
        <v>0.67</v>
      </c>
      <c r="R72" s="382"/>
      <c r="S72" s="404"/>
    </row>
    <row r="73" spans="1:36" x14ac:dyDescent="0.2">
      <c r="A73" s="698" t="s">
        <v>723</v>
      </c>
      <c r="B73" s="91" t="s">
        <v>724</v>
      </c>
      <c r="C73" s="404">
        <v>1192</v>
      </c>
      <c r="D73" s="404" t="s">
        <v>465</v>
      </c>
      <c r="E73" s="404"/>
      <c r="F73" s="382" t="s">
        <v>129</v>
      </c>
      <c r="G73" s="404"/>
      <c r="H73" s="521" t="s">
        <v>622</v>
      </c>
      <c r="I73" s="404"/>
      <c r="J73" s="404" t="s">
        <v>723</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28.5" x14ac:dyDescent="0.2">
      <c r="A74" s="698" t="s">
        <v>725</v>
      </c>
      <c r="B74" s="91" t="s">
        <v>726</v>
      </c>
      <c r="C74" s="404">
        <v>1030</v>
      </c>
      <c r="D74" s="404" t="s">
        <v>465</v>
      </c>
      <c r="E74" s="404"/>
      <c r="F74" s="382" t="s">
        <v>129</v>
      </c>
      <c r="G74" s="404"/>
      <c r="H74" s="521" t="s">
        <v>622</v>
      </c>
      <c r="I74" s="404"/>
      <c r="J74" s="404" t="s">
        <v>727</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x14ac:dyDescent="0.2">
      <c r="A75" s="698" t="s">
        <v>728</v>
      </c>
      <c r="B75" s="91" t="s">
        <v>729</v>
      </c>
      <c r="C75" s="404">
        <v>1190</v>
      </c>
      <c r="D75" s="404" t="s">
        <v>465</v>
      </c>
      <c r="E75" s="404"/>
      <c r="F75" s="382" t="s">
        <v>129</v>
      </c>
      <c r="G75" s="404"/>
      <c r="H75" s="521" t="s">
        <v>622</v>
      </c>
      <c r="I75" s="404"/>
      <c r="J75" s="404" t="s">
        <v>730</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x14ac:dyDescent="0.2">
      <c r="A76" s="698" t="s">
        <v>731</v>
      </c>
      <c r="B76" s="91" t="s">
        <v>732</v>
      </c>
      <c r="C76" s="404">
        <v>232</v>
      </c>
      <c r="D76" s="404" t="s">
        <v>465</v>
      </c>
      <c r="E76" s="404"/>
      <c r="F76" s="382" t="s">
        <v>129</v>
      </c>
      <c r="G76" s="404"/>
      <c r="H76" s="521" t="s">
        <v>622</v>
      </c>
      <c r="I76" s="404"/>
      <c r="J76" s="404" t="s">
        <v>733</v>
      </c>
      <c r="K76" s="404" t="s">
        <v>487</v>
      </c>
      <c r="L76" s="404">
        <f t="shared" si="8"/>
        <v>0</v>
      </c>
      <c r="M76" s="517" t="str">
        <f t="shared" si="11"/>
        <v>Compensation Not Required</v>
      </c>
      <c r="N76" s="404" t="s">
        <v>216</v>
      </c>
      <c r="O76" s="404">
        <f t="shared" si="9"/>
        <v>1</v>
      </c>
      <c r="P76" s="404" t="s">
        <v>216</v>
      </c>
      <c r="Q76" s="404">
        <f t="shared" si="10"/>
        <v>1</v>
      </c>
      <c r="R76" s="382"/>
      <c r="S76" s="404"/>
    </row>
    <row r="77" spans="1:36" ht="28.5" x14ac:dyDescent="0.2">
      <c r="A77" s="698" t="s">
        <v>734</v>
      </c>
      <c r="B77" s="91" t="s">
        <v>735</v>
      </c>
      <c r="C77" s="404">
        <v>350</v>
      </c>
      <c r="D77" s="404" t="s">
        <v>465</v>
      </c>
      <c r="E77" s="404"/>
      <c r="F77" s="382" t="s">
        <v>129</v>
      </c>
      <c r="G77" s="404"/>
      <c r="H77" s="521" t="s">
        <v>622</v>
      </c>
      <c r="I77" s="404"/>
      <c r="J77" s="404" t="s">
        <v>734</v>
      </c>
      <c r="K77" s="404" t="s">
        <v>216</v>
      </c>
      <c r="L77" s="404">
        <f t="shared" si="8"/>
        <v>2</v>
      </c>
      <c r="M77" s="517" t="str">
        <f t="shared" si="11"/>
        <v>Same distinctiveness or better habitat required ≥</v>
      </c>
      <c r="N77" s="404" t="s">
        <v>216</v>
      </c>
      <c r="O77" s="404">
        <f t="shared" si="9"/>
        <v>1</v>
      </c>
      <c r="P77" s="404" t="s">
        <v>216</v>
      </c>
      <c r="Q77" s="404">
        <f t="shared" si="10"/>
        <v>1</v>
      </c>
      <c r="R77" s="382" t="s">
        <v>736</v>
      </c>
      <c r="S77" s="404"/>
    </row>
    <row r="78" spans="1:36" ht="28.5" x14ac:dyDescent="0.2">
      <c r="A78" s="698" t="s">
        <v>737</v>
      </c>
      <c r="B78" s="558" t="s">
        <v>738</v>
      </c>
      <c r="C78" s="559" t="s">
        <v>739</v>
      </c>
      <c r="D78" s="559" t="s">
        <v>465</v>
      </c>
      <c r="E78" s="559"/>
      <c r="F78" s="395" t="s">
        <v>129</v>
      </c>
      <c r="G78" s="559"/>
      <c r="H78" s="560" t="s">
        <v>622</v>
      </c>
      <c r="I78" s="559"/>
      <c r="J78" s="559" t="s">
        <v>737</v>
      </c>
      <c r="K78" s="559" t="s">
        <v>216</v>
      </c>
      <c r="L78" s="559">
        <f t="shared" si="8"/>
        <v>2</v>
      </c>
      <c r="M78" s="561" t="str">
        <f t="shared" si="11"/>
        <v>Same distinctiveness or better habitat required ≥</v>
      </c>
      <c r="N78" s="559" t="s">
        <v>216</v>
      </c>
      <c r="O78" s="559">
        <v>1</v>
      </c>
      <c r="P78" s="559" t="s">
        <v>216</v>
      </c>
      <c r="Q78" s="559">
        <v>1</v>
      </c>
      <c r="R78" s="382" t="s">
        <v>736</v>
      </c>
      <c r="S78" s="559"/>
    </row>
    <row r="79" spans="1:36" ht="15" thickBot="1" x14ac:dyDescent="0.25">
      <c r="A79" s="699" t="s">
        <v>740</v>
      </c>
      <c r="B79" s="558" t="s">
        <v>741</v>
      </c>
      <c r="C79" s="559">
        <v>231</v>
      </c>
      <c r="D79" s="559" t="s">
        <v>465</v>
      </c>
      <c r="E79" s="559"/>
      <c r="F79" s="395" t="s">
        <v>129</v>
      </c>
      <c r="G79" s="559"/>
      <c r="H79" s="560" t="s">
        <v>622</v>
      </c>
      <c r="I79" s="559"/>
      <c r="J79" s="559" t="s">
        <v>740</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x14ac:dyDescent="0.2">
      <c r="A80" s="698" t="s">
        <v>742</v>
      </c>
      <c r="B80" s="590" t="s">
        <v>743</v>
      </c>
      <c r="C80" s="404" t="s">
        <v>744</v>
      </c>
      <c r="D80" s="404" t="s">
        <v>465</v>
      </c>
      <c r="E80" s="404"/>
      <c r="F80" s="382" t="s">
        <v>138</v>
      </c>
      <c r="G80" s="404"/>
      <c r="H80" s="521" t="s">
        <v>622</v>
      </c>
      <c r="I80" s="404"/>
      <c r="J80" s="404" t="s">
        <v>745</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 thickBot="1" x14ac:dyDescent="0.25">
      <c r="A81" s="201" t="s">
        <v>746</v>
      </c>
      <c r="B81" s="181" t="s">
        <v>747</v>
      </c>
      <c r="C81" s="404" t="s">
        <v>748</v>
      </c>
      <c r="D81" s="404" t="s">
        <v>465</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x14ac:dyDescent="0.2">
      <c r="A82" s="700" t="s">
        <v>749</v>
      </c>
      <c r="B82" s="179" t="s">
        <v>750</v>
      </c>
      <c r="C82" s="383" t="s">
        <v>751</v>
      </c>
      <c r="D82" s="383" t="s">
        <v>465</v>
      </c>
      <c r="E82" s="383"/>
      <c r="F82" s="370" t="s">
        <v>130</v>
      </c>
      <c r="G82" s="383"/>
      <c r="H82" s="523" t="s">
        <v>752</v>
      </c>
      <c r="I82" s="383" t="s">
        <v>751</v>
      </c>
      <c r="J82" s="432" t="s">
        <v>749</v>
      </c>
      <c r="K82" s="383" t="s">
        <v>468</v>
      </c>
      <c r="L82" s="383">
        <f t="shared" si="12"/>
        <v>8</v>
      </c>
      <c r="M82" s="519" t="str">
        <f t="shared" si="11"/>
        <v>Bespoke compensation likely to be required 🛠</v>
      </c>
      <c r="N82" s="383" t="s">
        <v>211</v>
      </c>
      <c r="O82" s="383">
        <f t="shared" si="9"/>
        <v>0.1</v>
      </c>
      <c r="P82" s="383" t="s">
        <v>213</v>
      </c>
      <c r="Q82" s="383">
        <f t="shared" si="10"/>
        <v>0.33</v>
      </c>
      <c r="R82" s="370"/>
      <c r="S82" s="383"/>
    </row>
    <row r="83" spans="1:36" ht="28.5" x14ac:dyDescent="0.2">
      <c r="A83" s="698" t="s">
        <v>753</v>
      </c>
      <c r="B83" s="91" t="s">
        <v>754</v>
      </c>
      <c r="C83" s="404">
        <v>24</v>
      </c>
      <c r="D83" s="404" t="s">
        <v>465</v>
      </c>
      <c r="E83" s="404" t="s">
        <v>755</v>
      </c>
      <c r="F83" s="382" t="s">
        <v>130</v>
      </c>
      <c r="G83" s="404" t="s">
        <v>756</v>
      </c>
      <c r="H83" s="521" t="s">
        <v>752</v>
      </c>
      <c r="I83" s="404"/>
      <c r="J83" s="433" t="s">
        <v>757</v>
      </c>
      <c r="K83" s="404" t="s">
        <v>468</v>
      </c>
      <c r="L83" s="404">
        <f t="shared" si="12"/>
        <v>8</v>
      </c>
      <c r="M83" s="517" t="str">
        <f t="shared" si="11"/>
        <v>Bespoke compensation likely to be required 🛠</v>
      </c>
      <c r="N83" s="404" t="s">
        <v>211</v>
      </c>
      <c r="O83" s="404">
        <f t="shared" si="9"/>
        <v>0.1</v>
      </c>
      <c r="P83" s="404" t="s">
        <v>213</v>
      </c>
      <c r="Q83" s="404">
        <f t="shared" si="10"/>
        <v>0.33</v>
      </c>
      <c r="R83" s="382"/>
      <c r="S83" s="404"/>
    </row>
    <row r="84" spans="1:36" x14ac:dyDescent="0.2">
      <c r="A84" s="698" t="s">
        <v>758</v>
      </c>
      <c r="B84" s="91" t="s">
        <v>759</v>
      </c>
      <c r="C84" s="404" t="s">
        <v>760</v>
      </c>
      <c r="D84" s="404" t="s">
        <v>465</v>
      </c>
      <c r="E84" s="404"/>
      <c r="F84" s="382" t="s">
        <v>130</v>
      </c>
      <c r="G84" s="404" t="s">
        <v>761</v>
      </c>
      <c r="H84" s="521" t="s">
        <v>762</v>
      </c>
      <c r="I84" s="404" t="s">
        <v>760</v>
      </c>
      <c r="J84" s="429" t="s">
        <v>763</v>
      </c>
      <c r="K84" s="404" t="s">
        <v>468</v>
      </c>
      <c r="L84" s="404">
        <f t="shared" si="12"/>
        <v>8</v>
      </c>
      <c r="M84" s="517" t="str">
        <f t="shared" si="11"/>
        <v>Bespoke compensation likely to be required 🛠</v>
      </c>
      <c r="N84" s="404" t="s">
        <v>213</v>
      </c>
      <c r="O84" s="404">
        <f t="shared" si="9"/>
        <v>0.33</v>
      </c>
      <c r="P84" s="404" t="s">
        <v>213</v>
      </c>
      <c r="Q84" s="404">
        <f t="shared" si="10"/>
        <v>0.33</v>
      </c>
      <c r="R84" s="382"/>
      <c r="S84" s="404"/>
    </row>
    <row r="85" spans="1:36" x14ac:dyDescent="0.2">
      <c r="A85" s="698" t="s">
        <v>764</v>
      </c>
      <c r="B85" s="91" t="s">
        <v>765</v>
      </c>
      <c r="C85" s="404" t="s">
        <v>766</v>
      </c>
      <c r="D85" s="404" t="s">
        <v>465</v>
      </c>
      <c r="E85" s="404"/>
      <c r="F85" s="382" t="s">
        <v>130</v>
      </c>
      <c r="G85" s="404"/>
      <c r="H85" s="521" t="s">
        <v>752</v>
      </c>
      <c r="I85" s="404" t="s">
        <v>766</v>
      </c>
      <c r="J85" s="429" t="s">
        <v>764</v>
      </c>
      <c r="K85" s="404" t="s">
        <v>468</v>
      </c>
      <c r="L85" s="404">
        <f t="shared" si="12"/>
        <v>8</v>
      </c>
      <c r="M85" s="517" t="str">
        <f t="shared" si="11"/>
        <v>Bespoke compensation likely to be required 🛠</v>
      </c>
      <c r="N85" s="404" t="s">
        <v>211</v>
      </c>
      <c r="O85" s="404">
        <f t="shared" si="9"/>
        <v>0.1</v>
      </c>
      <c r="P85" s="404" t="s">
        <v>213</v>
      </c>
      <c r="Q85" s="404">
        <f t="shared" si="10"/>
        <v>0.33</v>
      </c>
      <c r="R85" s="382"/>
      <c r="S85" s="404"/>
    </row>
    <row r="86" spans="1:36" x14ac:dyDescent="0.2">
      <c r="A86" s="698" t="s">
        <v>767</v>
      </c>
      <c r="B86" s="91" t="s">
        <v>768</v>
      </c>
      <c r="C86" s="404" t="s">
        <v>769</v>
      </c>
      <c r="D86" s="404" t="s">
        <v>465</v>
      </c>
      <c r="E86" s="404"/>
      <c r="F86" s="382" t="s">
        <v>130</v>
      </c>
      <c r="G86" s="404"/>
      <c r="H86" s="521" t="s">
        <v>762</v>
      </c>
      <c r="I86" s="404" t="s">
        <v>770</v>
      </c>
      <c r="J86" s="404" t="s">
        <v>771</v>
      </c>
      <c r="K86" s="404" t="s">
        <v>468</v>
      </c>
      <c r="L86" s="404">
        <f t="shared" si="12"/>
        <v>8</v>
      </c>
      <c r="M86" s="517" t="str">
        <f t="shared" si="11"/>
        <v>Bespoke compensation likely to be required 🛠</v>
      </c>
      <c r="N86" s="404" t="s">
        <v>211</v>
      </c>
      <c r="O86" s="404">
        <f t="shared" si="9"/>
        <v>0.1</v>
      </c>
      <c r="P86" s="404" t="s">
        <v>213</v>
      </c>
      <c r="Q86" s="404">
        <f t="shared" si="10"/>
        <v>0.33</v>
      </c>
      <c r="R86" s="382"/>
      <c r="S86" s="404"/>
    </row>
    <row r="87" spans="1:36" ht="28.5" x14ac:dyDescent="0.2">
      <c r="A87" s="698" t="s">
        <v>772</v>
      </c>
      <c r="B87" s="91" t="s">
        <v>773</v>
      </c>
      <c r="C87" s="404" t="s">
        <v>774</v>
      </c>
      <c r="D87" s="404" t="s">
        <v>465</v>
      </c>
      <c r="E87" s="404"/>
      <c r="F87" s="382" t="s">
        <v>130</v>
      </c>
      <c r="G87" s="404"/>
      <c r="H87" s="521" t="s">
        <v>762</v>
      </c>
      <c r="I87" s="404" t="s">
        <v>774</v>
      </c>
      <c r="J87" s="429" t="s">
        <v>772</v>
      </c>
      <c r="K87" s="404" t="s">
        <v>468</v>
      </c>
      <c r="L87" s="404">
        <f t="shared" si="12"/>
        <v>8</v>
      </c>
      <c r="M87" s="517" t="str">
        <f t="shared" si="11"/>
        <v>Bespoke compensation likely to be required 🛠</v>
      </c>
      <c r="N87" s="404" t="s">
        <v>213</v>
      </c>
      <c r="O87" s="404">
        <f t="shared" si="9"/>
        <v>0.33</v>
      </c>
      <c r="P87" s="404" t="s">
        <v>213</v>
      </c>
      <c r="Q87" s="404">
        <f t="shared" si="10"/>
        <v>0.33</v>
      </c>
      <c r="R87" s="382"/>
      <c r="S87" s="404"/>
    </row>
    <row r="88" spans="1:36" x14ac:dyDescent="0.2">
      <c r="A88" s="698" t="s">
        <v>775</v>
      </c>
      <c r="B88" s="91" t="s">
        <v>776</v>
      </c>
      <c r="C88" s="404" t="s">
        <v>777</v>
      </c>
      <c r="D88" s="404" t="s">
        <v>465</v>
      </c>
      <c r="E88" s="404"/>
      <c r="F88" s="382" t="s">
        <v>130</v>
      </c>
      <c r="G88" s="404"/>
      <c r="H88" s="521" t="s">
        <v>762</v>
      </c>
      <c r="I88" s="404" t="s">
        <v>777</v>
      </c>
      <c r="J88" s="429" t="s">
        <v>775</v>
      </c>
      <c r="K88" s="404" t="s">
        <v>213</v>
      </c>
      <c r="L88" s="404">
        <f t="shared" si="12"/>
        <v>6</v>
      </c>
      <c r="M88" s="517" t="str">
        <f t="shared" si="11"/>
        <v>Same habitat required =</v>
      </c>
      <c r="N88" s="404" t="s">
        <v>70</v>
      </c>
      <c r="O88" s="404">
        <f t="shared" si="9"/>
        <v>0.67</v>
      </c>
      <c r="P88" s="404" t="s">
        <v>70</v>
      </c>
      <c r="Q88" s="404">
        <f t="shared" si="10"/>
        <v>0.67</v>
      </c>
      <c r="R88" s="382"/>
      <c r="S88" s="404"/>
    </row>
    <row r="89" spans="1:36" ht="29.25" thickBot="1" x14ac:dyDescent="0.25">
      <c r="A89" s="698" t="s">
        <v>778</v>
      </c>
      <c r="B89" s="178" t="s">
        <v>779</v>
      </c>
      <c r="C89" s="388" t="s">
        <v>780</v>
      </c>
      <c r="D89" s="388" t="s">
        <v>465</v>
      </c>
      <c r="E89" s="388"/>
      <c r="F89" s="371" t="s">
        <v>130</v>
      </c>
      <c r="G89" s="388"/>
      <c r="H89" s="522" t="s">
        <v>762</v>
      </c>
      <c r="I89" s="388"/>
      <c r="J89" s="434" t="s">
        <v>779</v>
      </c>
      <c r="K89" s="388" t="s">
        <v>468</v>
      </c>
      <c r="L89" s="388">
        <f t="shared" si="12"/>
        <v>8</v>
      </c>
      <c r="M89" s="518" t="str">
        <f t="shared" si="11"/>
        <v>Bespoke compensation likely to be required 🛠</v>
      </c>
      <c r="N89" s="388" t="s">
        <v>211</v>
      </c>
      <c r="O89" s="388">
        <f t="shared" si="9"/>
        <v>0.1</v>
      </c>
      <c r="P89" s="388" t="s">
        <v>213</v>
      </c>
      <c r="Q89" s="388">
        <f t="shared" si="10"/>
        <v>0.33</v>
      </c>
      <c r="R89" s="371"/>
      <c r="S89" s="388"/>
    </row>
    <row r="90" spans="1:36" x14ac:dyDescent="0.2">
      <c r="A90" s="698" t="s">
        <v>781</v>
      </c>
      <c r="B90" s="179" t="s">
        <v>782</v>
      </c>
      <c r="C90" s="383">
        <v>53</v>
      </c>
      <c r="D90" s="383" t="s">
        <v>465</v>
      </c>
      <c r="E90" s="383"/>
      <c r="F90" s="370" t="s">
        <v>131</v>
      </c>
      <c r="G90" s="383"/>
      <c r="H90" s="523" t="s">
        <v>783</v>
      </c>
      <c r="I90" s="383"/>
      <c r="J90" s="383" t="s">
        <v>781</v>
      </c>
      <c r="K90" s="383" t="s">
        <v>213</v>
      </c>
      <c r="L90" s="383">
        <f t="shared" si="12"/>
        <v>6</v>
      </c>
      <c r="M90" s="519" t="str">
        <f t="shared" si="11"/>
        <v>Same habitat required =</v>
      </c>
      <c r="N90" s="383" t="s">
        <v>213</v>
      </c>
      <c r="O90" s="383">
        <f t="shared" si="9"/>
        <v>0.33</v>
      </c>
      <c r="P90" s="383" t="s">
        <v>216</v>
      </c>
      <c r="Q90" s="383">
        <f t="shared" si="10"/>
        <v>1</v>
      </c>
      <c r="R90" s="370"/>
      <c r="S90" s="383"/>
    </row>
    <row r="91" spans="1:36" ht="28.5" x14ac:dyDescent="0.2">
      <c r="A91" s="698" t="s">
        <v>784</v>
      </c>
      <c r="B91" s="91" t="s">
        <v>785</v>
      </c>
      <c r="C91" s="404" t="s">
        <v>786</v>
      </c>
      <c r="D91" s="404" t="s">
        <v>465</v>
      </c>
      <c r="E91" s="404"/>
      <c r="F91" s="382" t="s">
        <v>131</v>
      </c>
      <c r="G91" s="404"/>
      <c r="H91" s="521" t="s">
        <v>787</v>
      </c>
      <c r="I91" s="404" t="s">
        <v>786</v>
      </c>
      <c r="J91" s="429" t="s">
        <v>784</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28.5" x14ac:dyDescent="0.2">
      <c r="A92" s="698" t="s">
        <v>788</v>
      </c>
      <c r="B92" s="91" t="s">
        <v>789</v>
      </c>
      <c r="C92" s="404" t="s">
        <v>790</v>
      </c>
      <c r="D92" s="404" t="s">
        <v>465</v>
      </c>
      <c r="E92" s="404"/>
      <c r="F92" s="382" t="s">
        <v>131</v>
      </c>
      <c r="G92" s="404"/>
      <c r="H92" s="521" t="s">
        <v>787</v>
      </c>
      <c r="I92" s="404" t="s">
        <v>790</v>
      </c>
      <c r="J92" s="429" t="s">
        <v>788</v>
      </c>
      <c r="K92" s="404" t="s">
        <v>213</v>
      </c>
      <c r="L92" s="404">
        <f t="shared" si="12"/>
        <v>6</v>
      </c>
      <c r="M92" s="517" t="str">
        <f t="shared" si="11"/>
        <v>Same habitat required =</v>
      </c>
      <c r="N92" s="404" t="s">
        <v>213</v>
      </c>
      <c r="O92" s="404">
        <f t="shared" si="9"/>
        <v>0.33</v>
      </c>
      <c r="P92" s="404" t="s">
        <v>213</v>
      </c>
      <c r="Q92" s="404">
        <f t="shared" si="10"/>
        <v>0.33</v>
      </c>
      <c r="R92" s="382"/>
      <c r="S92" s="404"/>
    </row>
    <row r="93" spans="1:36" x14ac:dyDescent="0.2">
      <c r="A93" s="698" t="s">
        <v>791</v>
      </c>
      <c r="B93" s="91" t="s">
        <v>792</v>
      </c>
      <c r="C93" s="404" t="s">
        <v>793</v>
      </c>
      <c r="D93" s="404" t="s">
        <v>465</v>
      </c>
      <c r="E93" s="404"/>
      <c r="F93" s="382" t="s">
        <v>131</v>
      </c>
      <c r="G93" s="404" t="s">
        <v>794</v>
      </c>
      <c r="H93" s="521" t="s">
        <v>795</v>
      </c>
      <c r="I93" s="404" t="s">
        <v>793</v>
      </c>
      <c r="J93" s="429" t="s">
        <v>791</v>
      </c>
      <c r="K93" s="404" t="s">
        <v>213</v>
      </c>
      <c r="L93" s="404">
        <f t="shared" si="12"/>
        <v>6</v>
      </c>
      <c r="M93" s="517" t="str">
        <f t="shared" si="11"/>
        <v>Same habitat required =</v>
      </c>
      <c r="N93" s="404" t="s">
        <v>213</v>
      </c>
      <c r="O93" s="404">
        <f t="shared" si="9"/>
        <v>0.33</v>
      </c>
      <c r="P93" s="404" t="s">
        <v>213</v>
      </c>
      <c r="Q93" s="404">
        <f t="shared" si="10"/>
        <v>0.33</v>
      </c>
      <c r="R93" s="382"/>
      <c r="S93" s="404"/>
    </row>
    <row r="94" spans="1:36" x14ac:dyDescent="0.2">
      <c r="A94" s="698" t="s">
        <v>796</v>
      </c>
      <c r="B94" s="91" t="s">
        <v>797</v>
      </c>
      <c r="C94" s="404" t="s">
        <v>798</v>
      </c>
      <c r="D94" s="404" t="s">
        <v>465</v>
      </c>
      <c r="E94" s="404"/>
      <c r="F94" s="382" t="s">
        <v>131</v>
      </c>
      <c r="G94" s="404"/>
      <c r="H94" s="521" t="s">
        <v>795</v>
      </c>
      <c r="I94" s="404" t="s">
        <v>798</v>
      </c>
      <c r="J94" s="404" t="s">
        <v>796</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x14ac:dyDescent="0.2">
      <c r="A95" s="698" t="s">
        <v>799</v>
      </c>
      <c r="B95" s="91" t="s">
        <v>800</v>
      </c>
      <c r="C95" s="404" t="s">
        <v>801</v>
      </c>
      <c r="D95" s="404" t="s">
        <v>465</v>
      </c>
      <c r="E95" s="404"/>
      <c r="F95" s="382" t="s">
        <v>131</v>
      </c>
      <c r="G95" s="404"/>
      <c r="H95" s="521" t="s">
        <v>795</v>
      </c>
      <c r="I95" s="404" t="s">
        <v>801</v>
      </c>
      <c r="J95" s="404" t="s">
        <v>802</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x14ac:dyDescent="0.2">
      <c r="A96" s="698" t="s">
        <v>803</v>
      </c>
      <c r="B96" s="91" t="s">
        <v>804</v>
      </c>
      <c r="C96" s="404" t="s">
        <v>805</v>
      </c>
      <c r="D96" s="404" t="s">
        <v>465</v>
      </c>
      <c r="E96" s="404"/>
      <c r="F96" s="382" t="s">
        <v>131</v>
      </c>
      <c r="G96" s="404"/>
      <c r="H96" s="521" t="s">
        <v>787</v>
      </c>
      <c r="I96" s="404" t="s">
        <v>805</v>
      </c>
      <c r="J96" s="404" t="s">
        <v>803</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x14ac:dyDescent="0.2">
      <c r="A97" s="698" t="s">
        <v>806</v>
      </c>
      <c r="B97" s="91" t="s">
        <v>807</v>
      </c>
      <c r="C97" s="404" t="s">
        <v>808</v>
      </c>
      <c r="D97" s="404" t="s">
        <v>465</v>
      </c>
      <c r="E97" s="404"/>
      <c r="F97" s="382" t="s">
        <v>131</v>
      </c>
      <c r="G97" s="404"/>
      <c r="H97" s="521" t="s">
        <v>787</v>
      </c>
      <c r="I97" s="404" t="s">
        <v>808</v>
      </c>
      <c r="J97" s="404" t="s">
        <v>806</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x14ac:dyDescent="0.2">
      <c r="A98" s="698" t="s">
        <v>809</v>
      </c>
      <c r="B98" s="91" t="s">
        <v>810</v>
      </c>
      <c r="C98" s="404" t="s">
        <v>811</v>
      </c>
      <c r="D98" s="404" t="s">
        <v>465</v>
      </c>
      <c r="E98" s="404"/>
      <c r="F98" s="382" t="s">
        <v>131</v>
      </c>
      <c r="G98" s="404"/>
      <c r="H98" s="521" t="s">
        <v>787</v>
      </c>
      <c r="I98" s="404" t="s">
        <v>811</v>
      </c>
      <c r="J98" s="429" t="s">
        <v>809</v>
      </c>
      <c r="K98" s="404" t="s">
        <v>213</v>
      </c>
      <c r="L98" s="404">
        <f t="shared" si="12"/>
        <v>6</v>
      </c>
      <c r="M98" s="517" t="str">
        <f t="shared" si="11"/>
        <v>Same habitat required =</v>
      </c>
      <c r="N98" s="404" t="s">
        <v>70</v>
      </c>
      <c r="O98" s="404">
        <f t="shared" si="13"/>
        <v>0.67</v>
      </c>
      <c r="P98" s="404" t="s">
        <v>70</v>
      </c>
      <c r="Q98" s="404">
        <f t="shared" si="14"/>
        <v>0.67</v>
      </c>
      <c r="R98" s="382"/>
      <c r="S98" s="404"/>
    </row>
    <row r="99" spans="1:19" x14ac:dyDescent="0.2">
      <c r="A99" s="698" t="s">
        <v>812</v>
      </c>
      <c r="B99" s="91" t="s">
        <v>813</v>
      </c>
      <c r="C99" s="404" t="s">
        <v>814</v>
      </c>
      <c r="D99" s="404" t="s">
        <v>465</v>
      </c>
      <c r="E99" s="404"/>
      <c r="F99" s="382" t="s">
        <v>131</v>
      </c>
      <c r="G99" s="404"/>
      <c r="H99" s="521" t="s">
        <v>787</v>
      </c>
      <c r="I99" s="404" t="s">
        <v>814</v>
      </c>
      <c r="J99" s="429" t="s">
        <v>812</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x14ac:dyDescent="0.2">
      <c r="A100" s="698" t="s">
        <v>815</v>
      </c>
      <c r="B100" s="91" t="s">
        <v>816</v>
      </c>
      <c r="C100" s="404" t="s">
        <v>817</v>
      </c>
      <c r="D100" s="404" t="s">
        <v>465</v>
      </c>
      <c r="E100" s="404" t="s">
        <v>818</v>
      </c>
      <c r="F100" s="382" t="s">
        <v>131</v>
      </c>
      <c r="G100" s="404" t="s">
        <v>819</v>
      </c>
      <c r="H100" s="521" t="s">
        <v>787</v>
      </c>
      <c r="I100" s="404" t="s">
        <v>817</v>
      </c>
      <c r="J100" s="429" t="s">
        <v>815</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x14ac:dyDescent="0.2">
      <c r="A101" s="698" t="s">
        <v>820</v>
      </c>
      <c r="B101" s="91" t="s">
        <v>821</v>
      </c>
      <c r="C101" s="404" t="s">
        <v>822</v>
      </c>
      <c r="D101" s="404" t="s">
        <v>465</v>
      </c>
      <c r="E101" s="404"/>
      <c r="F101" s="382" t="s">
        <v>131</v>
      </c>
      <c r="G101" s="404"/>
      <c r="H101" s="521" t="s">
        <v>787</v>
      </c>
      <c r="I101" s="404" t="s">
        <v>822</v>
      </c>
      <c r="J101" s="429" t="s">
        <v>820</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 thickBot="1" x14ac:dyDescent="0.25">
      <c r="A102" s="698" t="s">
        <v>823</v>
      </c>
      <c r="B102" s="178" t="s">
        <v>824</v>
      </c>
      <c r="C102" s="388">
        <v>20</v>
      </c>
      <c r="D102" s="388" t="s">
        <v>465</v>
      </c>
      <c r="E102" s="388"/>
      <c r="F102" s="371" t="s">
        <v>131</v>
      </c>
      <c r="G102" s="388"/>
      <c r="H102" s="522" t="s">
        <v>783</v>
      </c>
      <c r="I102" s="388"/>
      <c r="J102" s="388" t="s">
        <v>823</v>
      </c>
      <c r="K102" s="388" t="s">
        <v>468</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 thickBot="1" x14ac:dyDescent="0.25">
      <c r="A103" s="698" t="s">
        <v>135</v>
      </c>
      <c r="B103" s="180" t="s">
        <v>825</v>
      </c>
      <c r="C103" s="435" t="s">
        <v>826</v>
      </c>
      <c r="D103" s="435" t="s">
        <v>827</v>
      </c>
      <c r="E103" s="435" t="s">
        <v>828</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x14ac:dyDescent="0.2">
      <c r="A104" s="698" t="s">
        <v>829</v>
      </c>
      <c r="B104" s="179" t="s">
        <v>830</v>
      </c>
      <c r="C104" s="383" t="s">
        <v>831</v>
      </c>
      <c r="D104" s="383" t="s">
        <v>827</v>
      </c>
      <c r="E104" s="383" t="s">
        <v>832</v>
      </c>
      <c r="F104" s="383" t="s">
        <v>134</v>
      </c>
      <c r="G104" s="383"/>
      <c r="H104" s="519" t="s">
        <v>829</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28.5" x14ac:dyDescent="0.2">
      <c r="A105" s="698" t="s">
        <v>833</v>
      </c>
      <c r="B105" s="91" t="s">
        <v>834</v>
      </c>
      <c r="C105" s="383" t="s">
        <v>835</v>
      </c>
      <c r="D105" s="404" t="s">
        <v>827</v>
      </c>
      <c r="E105" s="404" t="s">
        <v>832</v>
      </c>
      <c r="F105" s="404" t="s">
        <v>134</v>
      </c>
      <c r="G105" s="404"/>
      <c r="H105" s="517" t="s">
        <v>836</v>
      </c>
      <c r="I105" s="404"/>
      <c r="J105" s="404"/>
      <c r="K105" s="404" t="s">
        <v>468</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x14ac:dyDescent="0.2">
      <c r="A106" s="698" t="s">
        <v>837</v>
      </c>
      <c r="B106" s="91" t="s">
        <v>838</v>
      </c>
      <c r="C106" s="404" t="s">
        <v>839</v>
      </c>
      <c r="D106" s="404" t="s">
        <v>827</v>
      </c>
      <c r="E106" s="404" t="s">
        <v>832</v>
      </c>
      <c r="F106" s="404" t="s">
        <v>134</v>
      </c>
      <c r="G106" s="404"/>
      <c r="H106" s="517" t="s">
        <v>837</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28.5" x14ac:dyDescent="0.2">
      <c r="A107" s="698" t="s">
        <v>840</v>
      </c>
      <c r="B107" s="91" t="s">
        <v>841</v>
      </c>
      <c r="C107" s="404" t="s">
        <v>842</v>
      </c>
      <c r="D107" s="404" t="s">
        <v>827</v>
      </c>
      <c r="E107" s="404" t="s">
        <v>832</v>
      </c>
      <c r="F107" s="404" t="s">
        <v>134</v>
      </c>
      <c r="G107" s="404"/>
      <c r="H107" s="517" t="s">
        <v>843</v>
      </c>
      <c r="I107" s="404"/>
      <c r="J107" s="404"/>
      <c r="K107" s="404" t="s">
        <v>468</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x14ac:dyDescent="0.2">
      <c r="A108" s="698" t="s">
        <v>844</v>
      </c>
      <c r="B108" s="91" t="s">
        <v>845</v>
      </c>
      <c r="C108" s="404" t="s">
        <v>846</v>
      </c>
      <c r="D108" s="404" t="s">
        <v>827</v>
      </c>
      <c r="E108" s="404" t="s">
        <v>832</v>
      </c>
      <c r="F108" s="404" t="s">
        <v>134</v>
      </c>
      <c r="G108" s="404"/>
      <c r="H108" s="517" t="s">
        <v>844</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28.5" x14ac:dyDescent="0.2">
      <c r="A109" s="698" t="s">
        <v>847</v>
      </c>
      <c r="B109" s="91" t="s">
        <v>848</v>
      </c>
      <c r="C109" s="404" t="s">
        <v>849</v>
      </c>
      <c r="D109" s="404" t="s">
        <v>827</v>
      </c>
      <c r="E109" s="404" t="s">
        <v>832</v>
      </c>
      <c r="F109" s="404" t="s">
        <v>134</v>
      </c>
      <c r="G109" s="404"/>
      <c r="H109" s="517" t="s">
        <v>850</v>
      </c>
      <c r="I109" s="404"/>
      <c r="J109" s="404"/>
      <c r="K109" s="404" t="s">
        <v>468</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x14ac:dyDescent="0.2">
      <c r="A110" s="698" t="s">
        <v>851</v>
      </c>
      <c r="B110" s="91" t="s">
        <v>852</v>
      </c>
      <c r="C110" s="404" t="s">
        <v>853</v>
      </c>
      <c r="D110" s="404" t="s">
        <v>827</v>
      </c>
      <c r="E110" s="404" t="s">
        <v>832</v>
      </c>
      <c r="F110" s="404" t="s">
        <v>134</v>
      </c>
      <c r="G110" s="404"/>
      <c r="H110" s="517" t="s">
        <v>851</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29.25" thickBot="1" x14ac:dyDescent="0.25">
      <c r="A111" s="698" t="s">
        <v>854</v>
      </c>
      <c r="B111" s="178" t="s">
        <v>855</v>
      </c>
      <c r="C111" s="388" t="s">
        <v>856</v>
      </c>
      <c r="D111" s="388" t="s">
        <v>827</v>
      </c>
      <c r="E111" s="388" t="s">
        <v>832</v>
      </c>
      <c r="F111" s="388" t="s">
        <v>134</v>
      </c>
      <c r="G111" s="388"/>
      <c r="H111" s="518" t="s">
        <v>857</v>
      </c>
      <c r="I111" s="388"/>
      <c r="J111" s="388"/>
      <c r="K111" s="388" t="s">
        <v>468</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ht="28.5" x14ac:dyDescent="0.2">
      <c r="A112" s="698" t="s">
        <v>858</v>
      </c>
      <c r="B112" s="179" t="s">
        <v>859</v>
      </c>
      <c r="C112" s="383" t="s">
        <v>860</v>
      </c>
      <c r="D112" s="383" t="s">
        <v>827</v>
      </c>
      <c r="E112" s="383" t="s">
        <v>861</v>
      </c>
      <c r="F112" s="383" t="s">
        <v>133</v>
      </c>
      <c r="G112" s="383"/>
      <c r="H112" s="519" t="s">
        <v>862</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29.25" thickBot="1" x14ac:dyDescent="0.25">
      <c r="A113" s="698" t="s">
        <v>863</v>
      </c>
      <c r="B113" s="178" t="s">
        <v>864</v>
      </c>
      <c r="C113" s="388" t="s">
        <v>865</v>
      </c>
      <c r="D113" s="388"/>
      <c r="E113" s="388"/>
      <c r="F113" s="388" t="s">
        <v>133</v>
      </c>
      <c r="G113" s="388"/>
      <c r="H113" s="518" t="s">
        <v>863</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x14ac:dyDescent="0.2">
      <c r="A114" s="698" t="s">
        <v>866</v>
      </c>
      <c r="B114" s="179" t="s">
        <v>867</v>
      </c>
      <c r="C114" s="383" t="s">
        <v>868</v>
      </c>
      <c r="D114" s="383" t="s">
        <v>827</v>
      </c>
      <c r="E114" s="383" t="s">
        <v>861</v>
      </c>
      <c r="F114" s="383" t="s">
        <v>132</v>
      </c>
      <c r="G114" s="383"/>
      <c r="H114" s="519" t="s">
        <v>866</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x14ac:dyDescent="0.2">
      <c r="A115" s="698" t="s">
        <v>869</v>
      </c>
      <c r="B115" s="91" t="s">
        <v>870</v>
      </c>
      <c r="C115" s="404" t="s">
        <v>871</v>
      </c>
      <c r="D115" s="404" t="s">
        <v>827</v>
      </c>
      <c r="E115" s="404" t="s">
        <v>861</v>
      </c>
      <c r="F115" s="404" t="s">
        <v>132</v>
      </c>
      <c r="G115" s="404"/>
      <c r="H115" s="517" t="s">
        <v>869</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x14ac:dyDescent="0.2">
      <c r="A116" s="698" t="s">
        <v>872</v>
      </c>
      <c r="B116" s="91" t="s">
        <v>873</v>
      </c>
      <c r="C116" s="404" t="s">
        <v>874</v>
      </c>
      <c r="D116" s="404" t="s">
        <v>827</v>
      </c>
      <c r="E116" s="404" t="s">
        <v>861</v>
      </c>
      <c r="F116" s="404" t="s">
        <v>132</v>
      </c>
      <c r="G116" s="404"/>
      <c r="H116" s="517" t="s">
        <v>872</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x14ac:dyDescent="0.2">
      <c r="A117" s="698" t="s">
        <v>875</v>
      </c>
      <c r="B117" s="91" t="s">
        <v>230</v>
      </c>
      <c r="C117" s="404" t="s">
        <v>876</v>
      </c>
      <c r="D117" s="404" t="s">
        <v>827</v>
      </c>
      <c r="E117" s="404" t="s">
        <v>861</v>
      </c>
      <c r="F117" s="404" t="s">
        <v>132</v>
      </c>
      <c r="G117" s="404"/>
      <c r="H117" s="517" t="s">
        <v>877</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28.5" x14ac:dyDescent="0.2">
      <c r="A118" s="698" t="s">
        <v>878</v>
      </c>
      <c r="B118" s="91" t="s">
        <v>879</v>
      </c>
      <c r="C118" s="404" t="s">
        <v>880</v>
      </c>
      <c r="D118" s="404" t="s">
        <v>827</v>
      </c>
      <c r="E118" s="404" t="s">
        <v>861</v>
      </c>
      <c r="F118" s="404" t="s">
        <v>132</v>
      </c>
      <c r="G118" s="404"/>
      <c r="H118" s="517" t="s">
        <v>881</v>
      </c>
      <c r="I118" s="404"/>
      <c r="J118" s="404"/>
      <c r="K118" s="404" t="s">
        <v>468</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ht="28.5" x14ac:dyDescent="0.2">
      <c r="A119" s="698" t="s">
        <v>882</v>
      </c>
      <c r="B119" s="91" t="s">
        <v>883</v>
      </c>
      <c r="C119" s="404" t="s">
        <v>884</v>
      </c>
      <c r="D119" s="404"/>
      <c r="E119" s="404"/>
      <c r="F119" s="404" t="s">
        <v>132</v>
      </c>
      <c r="G119" s="404"/>
      <c r="H119" s="517" t="s">
        <v>885</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ht="28.5" x14ac:dyDescent="0.2">
      <c r="A120" s="698" t="s">
        <v>886</v>
      </c>
      <c r="B120" s="91" t="s">
        <v>887</v>
      </c>
      <c r="C120" s="404" t="s">
        <v>888</v>
      </c>
      <c r="D120" s="404" t="s">
        <v>827</v>
      </c>
      <c r="E120" s="404" t="s">
        <v>861</v>
      </c>
      <c r="F120" s="404" t="s">
        <v>132</v>
      </c>
      <c r="G120" s="404"/>
      <c r="H120" s="517" t="s">
        <v>886</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x14ac:dyDescent="0.2">
      <c r="A121" s="698" t="s">
        <v>889</v>
      </c>
      <c r="B121" s="91" t="s">
        <v>890</v>
      </c>
      <c r="C121" s="404" t="s">
        <v>891</v>
      </c>
      <c r="D121" s="404" t="s">
        <v>827</v>
      </c>
      <c r="E121" s="404" t="s">
        <v>861</v>
      </c>
      <c r="F121" s="404" t="s">
        <v>132</v>
      </c>
      <c r="G121" s="404"/>
      <c r="H121" s="517" t="s">
        <v>889</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ht="28.5" x14ac:dyDescent="0.2">
      <c r="A122" s="698" t="s">
        <v>892</v>
      </c>
      <c r="B122" s="91" t="s">
        <v>893</v>
      </c>
      <c r="C122" s="404" t="s">
        <v>894</v>
      </c>
      <c r="D122" s="404" t="s">
        <v>827</v>
      </c>
      <c r="E122" s="404" t="s">
        <v>861</v>
      </c>
      <c r="F122" s="404" t="s">
        <v>132</v>
      </c>
      <c r="G122" s="404"/>
      <c r="H122" s="517" t="s">
        <v>892</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x14ac:dyDescent="0.2">
      <c r="A123" s="698" t="s">
        <v>895</v>
      </c>
      <c r="B123" s="91" t="s">
        <v>896</v>
      </c>
      <c r="C123" s="404" t="s">
        <v>897</v>
      </c>
      <c r="D123" s="404"/>
      <c r="E123" s="404"/>
      <c r="F123" s="404" t="s">
        <v>132</v>
      </c>
      <c r="G123" s="404"/>
      <c r="H123" s="517" t="s">
        <v>895</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x14ac:dyDescent="0.2">
      <c r="A124" s="698" t="s">
        <v>898</v>
      </c>
      <c r="B124" s="91" t="s">
        <v>899</v>
      </c>
      <c r="C124" s="404" t="s">
        <v>900</v>
      </c>
      <c r="D124" s="404"/>
      <c r="E124" s="404"/>
      <c r="F124" s="404" t="s">
        <v>132</v>
      </c>
      <c r="G124" s="404"/>
      <c r="H124" s="517" t="s">
        <v>898</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x14ac:dyDescent="0.2">
      <c r="A125" s="698" t="s">
        <v>901</v>
      </c>
      <c r="B125" s="91" t="s">
        <v>902</v>
      </c>
      <c r="C125" s="404" t="s">
        <v>903</v>
      </c>
      <c r="D125" s="404" t="s">
        <v>827</v>
      </c>
      <c r="E125" s="404" t="s">
        <v>861</v>
      </c>
      <c r="F125" s="404" t="s">
        <v>132</v>
      </c>
      <c r="G125" s="404"/>
      <c r="H125" s="517" t="s">
        <v>895</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ht="28.5" x14ac:dyDescent="0.2">
      <c r="A126" s="698" t="s">
        <v>904</v>
      </c>
      <c r="B126" s="91" t="s">
        <v>905</v>
      </c>
      <c r="C126" s="404" t="s">
        <v>906</v>
      </c>
      <c r="D126" s="404" t="s">
        <v>827</v>
      </c>
      <c r="E126" s="404" t="s">
        <v>861</v>
      </c>
      <c r="F126" s="404" t="s">
        <v>132</v>
      </c>
      <c r="G126" s="404"/>
      <c r="H126" s="517" t="s">
        <v>904</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x14ac:dyDescent="0.2">
      <c r="A127" s="698" t="s">
        <v>907</v>
      </c>
      <c r="B127" s="91" t="s">
        <v>908</v>
      </c>
      <c r="C127" s="404" t="s">
        <v>909</v>
      </c>
      <c r="D127" s="404" t="s">
        <v>827</v>
      </c>
      <c r="E127" s="404" t="s">
        <v>861</v>
      </c>
      <c r="F127" s="404" t="s">
        <v>132</v>
      </c>
      <c r="G127" s="404"/>
      <c r="H127" s="517" t="s">
        <v>907</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ht="28.5" x14ac:dyDescent="0.2">
      <c r="A128" s="698" t="s">
        <v>910</v>
      </c>
      <c r="B128" s="91" t="s">
        <v>911</v>
      </c>
      <c r="C128" s="404" t="s">
        <v>912</v>
      </c>
      <c r="D128" s="404" t="s">
        <v>827</v>
      </c>
      <c r="E128" s="404" t="s">
        <v>861</v>
      </c>
      <c r="F128" s="404" t="s">
        <v>132</v>
      </c>
      <c r="G128" s="404"/>
      <c r="H128" s="517" t="s">
        <v>910</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x14ac:dyDescent="0.2">
      <c r="A129" s="201" t="s">
        <v>913</v>
      </c>
      <c r="B129" s="80" t="s">
        <v>914</v>
      </c>
      <c r="C129" s="404" t="s">
        <v>915</v>
      </c>
      <c r="D129" s="404" t="s">
        <v>827</v>
      </c>
      <c r="E129" s="404"/>
      <c r="F129" s="404" t="s">
        <v>132</v>
      </c>
      <c r="G129" s="404"/>
      <c r="H129" s="521" t="s">
        <v>913</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 thickBot="1" x14ac:dyDescent="0.25">
      <c r="A130" s="201" t="s">
        <v>916</v>
      </c>
      <c r="B130" s="181" t="s">
        <v>917</v>
      </c>
      <c r="C130" s="388" t="s">
        <v>918</v>
      </c>
      <c r="D130" s="388" t="s">
        <v>827</v>
      </c>
      <c r="E130" s="388"/>
      <c r="F130" s="388" t="s">
        <v>132</v>
      </c>
      <c r="G130" s="388"/>
      <c r="H130" s="522" t="s">
        <v>916</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x14ac:dyDescent="0.2">
      <c r="A131" s="201" t="s">
        <v>919</v>
      </c>
      <c r="B131" s="182" t="s">
        <v>920</v>
      </c>
      <c r="C131" s="383" t="s">
        <v>921</v>
      </c>
      <c r="D131" s="383" t="s">
        <v>827</v>
      </c>
      <c r="E131" s="383"/>
      <c r="F131" s="383" t="s">
        <v>136</v>
      </c>
      <c r="G131" s="383"/>
      <c r="H131" s="523" t="s">
        <v>919</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28.5" x14ac:dyDescent="0.2">
      <c r="A132" s="201" t="s">
        <v>922</v>
      </c>
      <c r="B132" s="80" t="s">
        <v>923</v>
      </c>
      <c r="C132" s="404" t="s">
        <v>924</v>
      </c>
      <c r="D132" s="404" t="s">
        <v>827</v>
      </c>
      <c r="E132" s="404"/>
      <c r="F132" s="383" t="s">
        <v>136</v>
      </c>
      <c r="G132" s="404"/>
      <c r="H132" s="521" t="s">
        <v>922</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3.5" thickBot="1" x14ac:dyDescent="0.25">
      <c r="A133" s="701" t="s">
        <v>925</v>
      </c>
      <c r="B133" s="565" t="s">
        <v>926</v>
      </c>
      <c r="C133" s="559" t="s">
        <v>927</v>
      </c>
      <c r="D133" s="559" t="s">
        <v>827</v>
      </c>
      <c r="E133" s="559"/>
      <c r="F133" s="566" t="s">
        <v>136</v>
      </c>
      <c r="G133" s="559"/>
      <c r="H133" s="560" t="s">
        <v>928</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43.5" thickBot="1" x14ac:dyDescent="0.25">
      <c r="A134" s="201" t="s">
        <v>137</v>
      </c>
      <c r="B134" s="567" t="s">
        <v>929</v>
      </c>
      <c r="C134" s="435" t="s">
        <v>930</v>
      </c>
      <c r="D134" s="436" t="s">
        <v>137</v>
      </c>
      <c r="E134" s="435"/>
      <c r="F134" s="435" t="s">
        <v>137</v>
      </c>
      <c r="G134" s="435"/>
      <c r="H134" s="520" t="s">
        <v>137</v>
      </c>
      <c r="I134" s="435"/>
      <c r="J134" s="435"/>
      <c r="K134" s="435" t="s">
        <v>931</v>
      </c>
      <c r="L134" s="435">
        <f t="shared" si="18"/>
        <v>0</v>
      </c>
      <c r="M134" s="435" t="str">
        <f>IF($K134=$V$3,$X$3,IF($K134=$V$4,$X$4,IF($K134=$V$5,$X$5,IF($K134=$V$6,$X$6,IF($K134=$V$7,$X$7)))))</f>
        <v>Compensation Not Required</v>
      </c>
      <c r="N134" s="435" t="s">
        <v>70</v>
      </c>
      <c r="O134" s="435">
        <f t="shared" si="19"/>
        <v>0.67</v>
      </c>
      <c r="P134" s="435" t="s">
        <v>211</v>
      </c>
      <c r="Q134" s="435">
        <f t="shared" si="20"/>
        <v>0.1</v>
      </c>
      <c r="R134" s="436" t="s">
        <v>932</v>
      </c>
      <c r="S134" s="435"/>
      <c r="T134" s="93"/>
    </row>
    <row r="135" spans="1:20" x14ac:dyDescent="0.2"/>
    <row r="136" spans="1:20" x14ac:dyDescent="0.2"/>
    <row r="137" spans="1:20" x14ac:dyDescent="0.2"/>
    <row r="138" spans="1:20" x14ac:dyDescent="0.2"/>
    <row r="139" spans="1:20" x14ac:dyDescent="0.2"/>
    <row r="140" spans="1:20" x14ac:dyDescent="0.2"/>
    <row r="141" spans="1:20" x14ac:dyDescent="0.2"/>
    <row r="142" spans="1:20" x14ac:dyDescent="0.2"/>
    <row r="143" spans="1:20" x14ac:dyDescent="0.2"/>
    <row r="144" spans="1:20" x14ac:dyDescent="0.2"/>
    <row r="145" x14ac:dyDescent="0.2"/>
    <row r="146" x14ac:dyDescent="0.2"/>
    <row r="147" x14ac:dyDescent="0.2"/>
    <row r="148"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sheetData>
  <sheetProtection algorithmName="SHA-512" hashValue="shZEho29k7ss6NZfha2GMtIRacfXeO40UW5v+6Pwqw2Vac7Q56kavcT5I3bhY/LG/bgPFYnBmKvZ7Nq1tAX69g==" saltValue="Z6jSWfrMJgzXj0hhxSjN+Q=="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zoomScale="80" zoomScaleNormal="80" workbookViewId="0">
      <selection sqref="A1:AF1"/>
    </sheetView>
  </sheetViews>
  <sheetFormatPr defaultColWidth="16.42578125" defaultRowHeight="14.25" x14ac:dyDescent="0.2"/>
  <cols>
    <col min="1" max="1" width="88.85546875" style="30" bestFit="1" customWidth="1"/>
    <col min="2" max="2" width="27.7109375" style="30" customWidth="1"/>
    <col min="3" max="3" width="18.5703125" style="30" customWidth="1"/>
    <col min="4" max="4" width="62.85546875" style="30" bestFit="1" customWidth="1"/>
    <col min="5" max="35" width="16.42578125" style="30"/>
    <col min="36" max="36" width="23.7109375" style="30" customWidth="1"/>
    <col min="37" max="38" width="16.42578125" style="30"/>
    <col min="39" max="39" width="24.855468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85546875" style="30" bestFit="1" customWidth="1"/>
    <col min="50" max="50" width="23.5703125" style="30" bestFit="1" customWidth="1"/>
    <col min="51" max="51" width="28.140625" style="30" customWidth="1"/>
    <col min="52" max="52" width="29.28515625" style="30" bestFit="1" customWidth="1"/>
    <col min="53" max="53" width="26.140625" style="30" bestFit="1" customWidth="1"/>
    <col min="54" max="54" width="25.85546875" style="30" bestFit="1" customWidth="1"/>
    <col min="55" max="55" width="28.140625" style="30" bestFit="1" customWidth="1"/>
    <col min="56" max="57" width="34.7109375" style="30" bestFit="1" customWidth="1"/>
    <col min="58" max="58" width="27.140625" style="30" bestFit="1" customWidth="1"/>
    <col min="59" max="59" width="9.140625" style="30" bestFit="1" customWidth="1"/>
    <col min="60" max="16384" width="16.42578125" style="30"/>
  </cols>
  <sheetData>
    <row r="1" spans="1:59" ht="51.6" customHeight="1" x14ac:dyDescent="0.45">
      <c r="A1" s="1637" t="s">
        <v>933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96"/>
      <c r="AJ1" s="1631" t="s">
        <v>934</v>
      </c>
      <c r="AK1" s="1632"/>
      <c r="AL1" s="1632"/>
      <c r="AM1" s="1632"/>
      <c r="AN1" s="1632"/>
      <c r="AO1" s="1632"/>
      <c r="AP1" s="1633"/>
      <c r="AU1" s="1634" t="s">
        <v>935</v>
      </c>
      <c r="AV1" s="1635"/>
      <c r="AW1" s="1635"/>
      <c r="AX1" s="1635"/>
      <c r="AY1" s="1635"/>
      <c r="AZ1" s="1635"/>
      <c r="BA1" s="1635"/>
      <c r="BB1" s="1635"/>
      <c r="BC1" s="1635"/>
      <c r="BD1" s="1635"/>
      <c r="BE1" s="1635"/>
      <c r="BF1" s="1635"/>
      <c r="BG1" s="1636"/>
    </row>
    <row r="2" spans="1:59" ht="22.5" x14ac:dyDescent="0.3">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45" customHeight="1" x14ac:dyDescent="0.45">
      <c r="A3" s="78" t="s">
        <v>936</v>
      </c>
      <c r="B3" s="78" t="s">
        <v>220</v>
      </c>
      <c r="C3" s="78" t="s">
        <v>270</v>
      </c>
      <c r="D3" s="78" t="s">
        <v>937</v>
      </c>
      <c r="E3" s="78" t="s">
        <v>938</v>
      </c>
      <c r="F3" s="78" t="s">
        <v>939</v>
      </c>
      <c r="G3" s="78" t="s">
        <v>940</v>
      </c>
      <c r="H3" s="78" t="s">
        <v>941</v>
      </c>
      <c r="I3" s="78" t="s">
        <v>942</v>
      </c>
      <c r="J3" s="78" t="s">
        <v>943</v>
      </c>
      <c r="K3" s="78" t="s">
        <v>944</v>
      </c>
      <c r="L3" s="78" t="s">
        <v>945</v>
      </c>
      <c r="M3" s="78" t="s">
        <v>946</v>
      </c>
      <c r="N3" s="78" t="s">
        <v>947</v>
      </c>
      <c r="O3" s="78" t="s">
        <v>948</v>
      </c>
      <c r="P3" s="78" t="s">
        <v>949</v>
      </c>
      <c r="Q3" s="78" t="s">
        <v>950</v>
      </c>
      <c r="R3" s="78" t="s">
        <v>951</v>
      </c>
      <c r="S3" s="78" t="s">
        <v>952</v>
      </c>
      <c r="T3" s="78" t="s">
        <v>953</v>
      </c>
      <c r="U3" s="78" t="s">
        <v>954</v>
      </c>
      <c r="V3" s="78" t="s">
        <v>955</v>
      </c>
      <c r="W3" s="78" t="s">
        <v>956</v>
      </c>
      <c r="X3" s="78" t="s">
        <v>957</v>
      </c>
      <c r="Y3" s="78" t="s">
        <v>958</v>
      </c>
      <c r="Z3" s="78" t="s">
        <v>959</v>
      </c>
      <c r="AA3" s="78" t="s">
        <v>960</v>
      </c>
      <c r="AB3" s="78" t="s">
        <v>961</v>
      </c>
      <c r="AC3" s="78" t="s">
        <v>962</v>
      </c>
      <c r="AD3" s="78" t="s">
        <v>963</v>
      </c>
      <c r="AE3" s="78" t="s">
        <v>964</v>
      </c>
      <c r="AF3" s="78" t="s">
        <v>965</v>
      </c>
      <c r="AJ3" s="537" t="s">
        <v>966</v>
      </c>
      <c r="AK3" s="538" t="s">
        <v>967</v>
      </c>
      <c r="AL3" s="538" t="s">
        <v>968</v>
      </c>
      <c r="AM3" s="538" t="s">
        <v>969</v>
      </c>
      <c r="AN3" s="538" t="s">
        <v>970</v>
      </c>
      <c r="AO3" s="538" t="s">
        <v>119</v>
      </c>
      <c r="AP3" s="538" t="s">
        <v>120</v>
      </c>
      <c r="AU3" s="87" t="s">
        <v>211</v>
      </c>
      <c r="AV3" s="88"/>
      <c r="AW3" s="89"/>
      <c r="AX3" s="89"/>
      <c r="AY3" s="89"/>
      <c r="AZ3" s="89"/>
      <c r="BA3" s="89"/>
      <c r="BB3" s="89"/>
      <c r="BC3" s="89"/>
      <c r="BD3" s="89"/>
      <c r="BE3" s="89"/>
      <c r="BF3" s="89"/>
      <c r="BG3" s="89"/>
    </row>
    <row r="4" spans="1:59" ht="31.5" x14ac:dyDescent="0.2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1038.0702998839545</v>
      </c>
      <c r="AL4" s="548">
        <f t="shared" ref="AL4:AL18" si="8">SUMIF($B:$B,$AJ4,F:F)</f>
        <v>2113.6942459893717</v>
      </c>
      <c r="AM4" s="548">
        <f t="shared" ref="AM4:AM18" si="9">SUMIF($B:$B,$AJ4,O:O)</f>
        <v>3.2937480797845708</v>
      </c>
      <c r="AN4" s="548">
        <f t="shared" ref="AN4:AN18" si="10">SUMIF($B:$B,$AJ4,P:P)</f>
        <v>7.1773442153463529</v>
      </c>
      <c r="AO4" s="651">
        <f t="shared" ref="AO4:AO18" si="11">SUMIF($B:$B,$AJ4,Q:Q)</f>
        <v>-1034.7765518041699</v>
      </c>
      <c r="AP4" s="651">
        <f t="shared" ref="AP4:AP18" si="12">SUMIF($B:$B,$AJ4,R:R)</f>
        <v>-2106.5169017740254</v>
      </c>
      <c r="AU4" s="94" t="s">
        <v>971</v>
      </c>
      <c r="AV4" s="97" t="s">
        <v>220</v>
      </c>
      <c r="AW4" s="97" t="s">
        <v>972</v>
      </c>
      <c r="AX4" s="97" t="s">
        <v>973</v>
      </c>
      <c r="AY4" s="97" t="s">
        <v>974</v>
      </c>
      <c r="AZ4" s="97" t="s">
        <v>975</v>
      </c>
      <c r="BA4" s="97" t="s">
        <v>976</v>
      </c>
      <c r="BB4" s="97" t="s">
        <v>977</v>
      </c>
      <c r="BC4" s="97" t="s">
        <v>978</v>
      </c>
      <c r="BD4" s="97" t="s">
        <v>979</v>
      </c>
      <c r="BE4" s="97" t="s">
        <v>980</v>
      </c>
      <c r="BF4" s="97" t="s">
        <v>981</v>
      </c>
      <c r="BG4" s="97" t="s">
        <v>982</v>
      </c>
    </row>
    <row r="5" spans="1:59" ht="14.45" customHeight="1" x14ac:dyDescent="0.2">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1.2037552616659961</v>
      </c>
      <c r="F5" s="346">
        <f>SUMIF('A-1 On-Site Habitat Baseline'!$G$11:$G$258,'G-2 Habitat groups'!A5,'A-1 On-Site Habitat Baseline'!$Q$11:$Q$258)</f>
        <v>5.2725016456877007</v>
      </c>
      <c r="G5" s="346">
        <f>SUMIF('A-1 On-Site Habitat Baseline'!$G$11:$G$258,'G-2 Habitat groups'!A5,'A-1 On-Site Habitat Baseline'!$S$11:$S$258)</f>
        <v>4.6578504921981683E-3</v>
      </c>
      <c r="H5" s="346">
        <f>SUMIF('A-1 On-Site Habitat Baseline'!$G$11:$G$258,'G-2 Habitat groups'!A5,'A-1 On-Site Habitat Baseline'!$U$11:$U$258)</f>
        <v>1.8631401968792673E-2</v>
      </c>
      <c r="I5" s="346">
        <f>SUMIF('A-1 On-Site Habitat Baseline'!$G$11:$G$258,'G-2 Habitat groups'!A5,'A-1 On-Site Habitat Baseline'!$W$11:$W$258)</f>
        <v>1.1990974111737978</v>
      </c>
      <c r="J5" s="346">
        <f>SUMIF('A-1 On-Site Habitat Baseline'!$G$11:$G$258,'G-2 Habitat groups'!A5,'A-1 On-Site Habitat Baseline'!$X$11:$X$258)</f>
        <v>5.2538702437189082</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4.6578504921981683E-3</v>
      </c>
      <c r="P5" s="346">
        <f t="shared" si="1"/>
        <v>1.8631401968792673E-2</v>
      </c>
      <c r="Q5" s="346">
        <f t="shared" si="2"/>
        <v>-1.199097411173798</v>
      </c>
      <c r="R5" s="346">
        <f t="shared" si="3"/>
        <v>-5.2538702437189082</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-1.199097411173798</v>
      </c>
      <c r="AF5" s="346">
        <f t="shared" ref="AF5:AF34" si="15">R5+AD5</f>
        <v>-5.2538702437189082</v>
      </c>
      <c r="AJ5" s="82" t="s">
        <v>125</v>
      </c>
      <c r="AK5" s="549">
        <f t="shared" si="7"/>
        <v>125.89335776903762</v>
      </c>
      <c r="AL5" s="549">
        <f t="shared" si="8"/>
        <v>279.79914765371603</v>
      </c>
      <c r="AM5" s="549">
        <f t="shared" si="9"/>
        <v>1123.8651851966295</v>
      </c>
      <c r="AN5" s="549">
        <f t="shared" ca="1" si="10"/>
        <v>4374.5505912993522</v>
      </c>
      <c r="AO5" s="651">
        <f t="shared" si="11"/>
        <v>997.97182742759185</v>
      </c>
      <c r="AP5" s="651">
        <f t="shared" ca="1" si="12"/>
        <v>4094.7514436456368</v>
      </c>
      <c r="AU5" s="91" t="s">
        <v>530</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45" customHeight="1" x14ac:dyDescent="0.2">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2.0071139935784337</v>
      </c>
      <c r="AL6" s="549">
        <f t="shared" si="8"/>
        <v>17.149994559236568</v>
      </c>
      <c r="AM6" s="549">
        <f t="shared" si="9"/>
        <v>2.4575870977530268</v>
      </c>
      <c r="AN6" s="549">
        <f t="shared" si="10"/>
        <v>17.335117783550452</v>
      </c>
      <c r="AO6" s="651">
        <f t="shared" si="11"/>
        <v>0.45047310417459308</v>
      </c>
      <c r="AP6" s="651">
        <f t="shared" si="12"/>
        <v>0.18512322431388384</v>
      </c>
      <c r="AU6" s="91" t="s">
        <v>536</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45" customHeight="1" x14ac:dyDescent="0.2">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2.0011045622841146</v>
      </c>
      <c r="F7" s="346">
        <f>SUMIF('A-1 On-Site Habitat Baseline'!$G$11:$G$258,'G-2 Habitat groups'!A7,'A-1 On-Site Habitat Baseline'!$Q$11:$Q$258)</f>
        <v>8.0044182491364584</v>
      </c>
      <c r="G7" s="346">
        <f>SUMIF('A-1 On-Site Habitat Baseline'!$G$11:$G$258,'G-2 Habitat groups'!A7,'A-1 On-Site Habitat Baseline'!$S$11:$S$258)</f>
        <v>0.24797136931047892</v>
      </c>
      <c r="H7" s="346">
        <f>SUMIF('A-1 On-Site Habitat Baseline'!$G$11:$G$258,'G-2 Habitat groups'!A7,'A-1 On-Site Habitat Baseline'!$U$11:$U$258)</f>
        <v>0.99188547724191567</v>
      </c>
      <c r="I7" s="346">
        <f>SUMIF('A-1 On-Site Habitat Baseline'!$G$11:$G$258,'G-2 Habitat groups'!A7,'A-1 On-Site Habitat Baseline'!$W$11:$W$258)</f>
        <v>1.7531331929736358</v>
      </c>
      <c r="J7" s="346">
        <f>SUMIF('A-1 On-Site Habitat Baseline'!$G$11:$G$258,'G-2 Habitat groups'!A7,'A-1 On-Site Habitat Baseline'!$X$11:$X$258)</f>
        <v>7.0125327718945432</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0.24797136931047892</v>
      </c>
      <c r="P7" s="346">
        <f t="shared" si="1"/>
        <v>0.99188547724191567</v>
      </c>
      <c r="Q7" s="346">
        <f t="shared" si="2"/>
        <v>-1.7531331929736358</v>
      </c>
      <c r="R7" s="346">
        <f t="shared" si="3"/>
        <v>-7.0125327718945432</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-1.7531331929736358</v>
      </c>
      <c r="AF7" s="346">
        <f t="shared" si="15"/>
        <v>-7.0125327718945432</v>
      </c>
      <c r="AJ7" s="82" t="s">
        <v>127</v>
      </c>
      <c r="AK7" s="549">
        <f t="shared" si="7"/>
        <v>1.9674123836259706E-2</v>
      </c>
      <c r="AL7" s="549">
        <f t="shared" si="8"/>
        <v>9.0500969646794632E-2</v>
      </c>
      <c r="AM7" s="549">
        <f t="shared" si="9"/>
        <v>1.9674123836259706E-2</v>
      </c>
      <c r="AN7" s="549">
        <f t="shared" si="10"/>
        <v>9.0500969646794632E-2</v>
      </c>
      <c r="AO7" s="651">
        <f t="shared" si="11"/>
        <v>0</v>
      </c>
      <c r="AP7" s="651">
        <f t="shared" si="12"/>
        <v>0</v>
      </c>
      <c r="AU7" s="91" t="s">
        <v>563</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45" customHeight="1" x14ac:dyDescent="0.2">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1034.8654400600044</v>
      </c>
      <c r="F8" s="346">
        <f>SUMIF('A-1 On-Site Habitat Baseline'!$G$11:$G$258,'G-2 Habitat groups'!A8,'A-1 On-Site Habitat Baseline'!$Q$11:$Q$258)</f>
        <v>2100.4173260945477</v>
      </c>
      <c r="G8" s="346">
        <f>SUMIF('A-1 On-Site Habitat Baseline'!$G$11:$G$258,'G-2 Habitat groups'!A8,'A-1 On-Site Habitat Baseline'!$S$11:$S$258)</f>
        <v>2.9421785835235235</v>
      </c>
      <c r="H8" s="346">
        <f>SUMIF('A-1 On-Site Habitat Baseline'!$G$11:$G$258,'G-2 Habitat groups'!A8,'A-1 On-Site Habitat Baseline'!$U$11:$U$258)</f>
        <v>5.9752178773664051</v>
      </c>
      <c r="I8" s="346">
        <f>SUMIF('A-1 On-Site Habitat Baseline'!$G$11:$G$258,'G-2 Habitat groups'!A8,'A-1 On-Site Habitat Baseline'!$W$11:$W$258)</f>
        <v>1031.923261476481</v>
      </c>
      <c r="J8" s="346">
        <f>SUMIF('A-1 On-Site Habitat Baseline'!$G$11:$G$258,'G-2 Habitat groups'!A8,'A-1 On-Site Habitat Baseline'!$X$11:$X$258)</f>
        <v>2094.4421082171812</v>
      </c>
      <c r="K8" s="346">
        <f>SUMIF('A-2 On-Site Habitat Creation'!$F$11:$F$256,'G-2 Habitat groups'!A8,'A-2 On-Site Habitat Creation'!$G$11:$G$256)</f>
        <v>9.8940276458370169E-2</v>
      </c>
      <c r="L8" s="346">
        <f>SUMIF('A-2 On-Site Habitat Creation'!$F$11:$F$256,'G-2 Habitat groups'!A8,'A-2 On-Site Habitat Creation'!$Y$11:$Y$256)</f>
        <v>0.19160945876923902</v>
      </c>
      <c r="M8" s="346">
        <f>SUMIF('A-3 On-Site Habitat Enhancement'!$S$12:$S$257,'G-2 Habitat groups'!A8,'A-3 On-Site Habitat Enhancement'!$V$12:$V$257)</f>
        <v>0</v>
      </c>
      <c r="N8" s="346">
        <f>SUMIF('A-3 On-Site Habitat Enhancement'!$S$12:$S$257,'G-2 Habitat groups'!A8,'A-3 On-Site Habitat Enhancement'!$AN$12:$AN$257)</f>
        <v>0</v>
      </c>
      <c r="O8" s="346">
        <f t="shared" si="0"/>
        <v>3.0411188599818937</v>
      </c>
      <c r="P8" s="346">
        <f t="shared" si="1"/>
        <v>6.1668273361356443</v>
      </c>
      <c r="Q8" s="346">
        <f t="shared" si="2"/>
        <v>-1031.8243212000225</v>
      </c>
      <c r="R8" s="346">
        <f t="shared" si="3"/>
        <v>-2094.250498758412</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-1031.8243212000225</v>
      </c>
      <c r="AF8" s="346">
        <f t="shared" si="15"/>
        <v>-2094.250498758412</v>
      </c>
      <c r="AJ8" s="83" t="s">
        <v>128</v>
      </c>
      <c r="AK8" s="549">
        <f t="shared" si="7"/>
        <v>30.915954484689941</v>
      </c>
      <c r="AL8" s="549">
        <f t="shared" si="8"/>
        <v>64.37083245568688</v>
      </c>
      <c r="AM8" s="549">
        <f t="shared" si="9"/>
        <v>0</v>
      </c>
      <c r="AN8" s="549">
        <f t="shared" si="10"/>
        <v>0</v>
      </c>
      <c r="AO8" s="651">
        <f t="shared" si="11"/>
        <v>-30.915954484689941</v>
      </c>
      <c r="AP8" s="651">
        <f t="shared" si="12"/>
        <v>-64.37083245568688</v>
      </c>
      <c r="AU8" s="91" t="s">
        <v>594</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45" customHeight="1" x14ac:dyDescent="0.2">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3.810654043153213</v>
      </c>
      <c r="AL9" s="549">
        <f t="shared" si="8"/>
        <v>1.7707742577520333</v>
      </c>
      <c r="AM9" s="549">
        <f t="shared" si="9"/>
        <v>67.027861500445283</v>
      </c>
      <c r="AN9" s="549">
        <f t="shared" si="10"/>
        <v>139.03469782409482</v>
      </c>
      <c r="AO9" s="651">
        <f t="shared" si="11"/>
        <v>63.217207457292062</v>
      </c>
      <c r="AP9" s="651">
        <f t="shared" si="12"/>
        <v>137.26392356634281</v>
      </c>
      <c r="AU9" s="91" t="s">
        <v>616</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x14ac:dyDescent="0.2">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652</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45" customHeight="1" x14ac:dyDescent="0.2">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10.215275670026225</v>
      </c>
      <c r="AL11" s="549">
        <f t="shared" si="8"/>
        <v>81.203568597432692</v>
      </c>
      <c r="AM11" s="549">
        <f t="shared" si="9"/>
        <v>14.291385489870727</v>
      </c>
      <c r="AN11" s="549">
        <f t="shared" si="10"/>
        <v>99.184430895053609</v>
      </c>
      <c r="AO11" s="651">
        <f t="shared" si="11"/>
        <v>4.0761098198445023</v>
      </c>
      <c r="AP11" s="651">
        <f t="shared" si="12"/>
        <v>17.980862297620916</v>
      </c>
      <c r="AU11" s="91" t="s">
        <v>674</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45" customHeight="1" x14ac:dyDescent="0.2">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132</v>
      </c>
      <c r="AK12" s="549">
        <f t="shared" si="7"/>
        <v>0</v>
      </c>
      <c r="AL12" s="549">
        <f t="shared" si="8"/>
        <v>0</v>
      </c>
      <c r="AM12" s="549">
        <f t="shared" si="9"/>
        <v>0</v>
      </c>
      <c r="AN12" s="549">
        <f t="shared" si="10"/>
        <v>0</v>
      </c>
      <c r="AO12" s="651">
        <f t="shared" si="11"/>
        <v>0</v>
      </c>
      <c r="AP12" s="651">
        <f t="shared" si="12"/>
        <v>0</v>
      </c>
      <c r="AU12" s="91" t="s">
        <v>750</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45" customHeight="1" x14ac:dyDescent="0.2">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754</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45" customHeight="1" x14ac:dyDescent="0.2">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759</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x14ac:dyDescent="0.2">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765</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x14ac:dyDescent="0.2">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92.652584800062627</v>
      </c>
      <c r="L16" s="346">
        <f>SUMIF('A-2 On-Site Habitat Creation'!$F$11:$F$256,'G-2 Habitat groups'!A16,'A-2 On-Site Habitat Creation'!$Y$11:$Y$256)</f>
        <v>306.95253745211028</v>
      </c>
      <c r="M16" s="346">
        <f>SUMIF('A-3 On-Site Habitat Enhancement'!$S$12:$S$257,'G-2 Habitat groups'!A16,'A-3 On-Site Habitat Enhancement'!$V$12:$V$257)</f>
        <v>0</v>
      </c>
      <c r="N16" s="346">
        <f>SUMIF('A-3 On-Site Habitat Enhancement'!$S$12:$S$257,'G-2 Habitat groups'!A16,'A-3 On-Site Habitat Enhancement'!$AN$12:$AN$257)</f>
        <v>0</v>
      </c>
      <c r="O16" s="346">
        <f t="shared" si="0"/>
        <v>92.652584800062627</v>
      </c>
      <c r="P16" s="346">
        <f t="shared" si="1"/>
        <v>306.95253745211028</v>
      </c>
      <c r="Q16" s="346">
        <f t="shared" si="2"/>
        <v>92.652584800062627</v>
      </c>
      <c r="R16" s="346">
        <f t="shared" si="3"/>
        <v>306.95253745211028</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92.652584800062627</v>
      </c>
      <c r="AF16" s="346">
        <f t="shared" si="15"/>
        <v>306.95253745211028</v>
      </c>
      <c r="AJ16" s="84" t="s">
        <v>136</v>
      </c>
      <c r="AK16" s="549">
        <f t="shared" si="7"/>
        <v>0</v>
      </c>
      <c r="AL16" s="549">
        <f t="shared" si="8"/>
        <v>0</v>
      </c>
      <c r="AM16" s="549">
        <f t="shared" si="9"/>
        <v>0</v>
      </c>
      <c r="AN16" s="549">
        <f t="shared" si="10"/>
        <v>0</v>
      </c>
      <c r="AO16" s="651">
        <f t="shared" si="11"/>
        <v>0</v>
      </c>
      <c r="AP16" s="651">
        <f t="shared" si="12"/>
        <v>0</v>
      </c>
      <c r="AU16" s="91" t="s">
        <v>768</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x14ac:dyDescent="0.2">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0</v>
      </c>
      <c r="AN17" s="549">
        <f t="shared" si="10"/>
        <v>0</v>
      </c>
      <c r="AO17" s="549">
        <f t="shared" si="11"/>
        <v>0</v>
      </c>
      <c r="AP17" s="549">
        <f t="shared" si="12"/>
        <v>0</v>
      </c>
      <c r="AU17" s="91" t="s">
        <v>773</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x14ac:dyDescent="0.2">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779</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x14ac:dyDescent="0.2">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824</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31.5" x14ac:dyDescent="0.2">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122.25040496451822</v>
      </c>
      <c r="F20" s="346">
        <f>SUMIF('A-1 On-Site Habitat Baseline'!$G$11:$G$258,'G-2 Habitat groups'!A20,'A-1 On-Site Habitat Baseline'!$Q$11:$Q$258)</f>
        <v>265.16326415548502</v>
      </c>
      <c r="G20" s="346">
        <f>SUMIF('A-1 On-Site Habitat Baseline'!$G$11:$G$258,'G-2 Habitat groups'!A20,'A-1 On-Site Habitat Baseline'!$S$11:$S$258)</f>
        <v>3.1986996632333313</v>
      </c>
      <c r="H20" s="346">
        <f>SUMIF('A-1 On-Site Habitat Baseline'!$G$11:$G$258,'G-2 Habitat groups'!A20,'A-1 On-Site Habitat Baseline'!$U$11:$U$258)</f>
        <v>6.5429879155607864</v>
      </c>
      <c r="I20" s="346">
        <f>SUMIF('A-1 On-Site Habitat Baseline'!$G$11:$G$258,'G-2 Habitat groups'!A20,'A-1 On-Site Habitat Baseline'!$W$11:$W$258)</f>
        <v>98.019859491095232</v>
      </c>
      <c r="J20" s="346">
        <f>SUMIF('A-1 On-Site Habitat Baseline'!$G$11:$G$258,'G-2 Habitat groups'!A20,'A-1 On-Site Habitat Baseline'!$X$11:$X$258)</f>
        <v>214.61182800146855</v>
      </c>
      <c r="K20" s="346">
        <f>SUMIF('A-2 On-Site Habitat Creation'!$F$11:$F$256,'G-2 Habitat groups'!A20,'A-2 On-Site Habitat Creation'!$G$11:$G$256)</f>
        <v>855.25761218292689</v>
      </c>
      <c r="L20" s="346">
        <f>SUMIF('A-2 On-Site Habitat Creation'!$F$11:$F$256,'G-2 Habitat groups'!A20,'A-2 On-Site Habitat Creation'!$Y$11:$Y$256)</f>
        <v>2640.9548242007336</v>
      </c>
      <c r="M20" s="346">
        <f>SUMIF('A-3 On-Site Habitat Enhancement'!$S$12:$S$257,'G-2 Habitat groups'!A20,'A-3 On-Site Habitat Enhancement'!$V$12:$V$257)</f>
        <v>10.813435419619488</v>
      </c>
      <c r="N20" s="346">
        <f ca="1">SUMIF('A-3 On-Site Habitat Enhancement'!$S$12:$S$257,'G-2 Habitat groups'!A20,'A-3 On-Site Habitat Enhancement'!$AN$12:$AN$257)</f>
        <v>37.904412761365649</v>
      </c>
      <c r="O20" s="346">
        <f t="shared" si="0"/>
        <v>869.26974726577976</v>
      </c>
      <c r="P20" s="346">
        <f t="shared" ca="1" si="1"/>
        <v>2685.40222487766</v>
      </c>
      <c r="Q20" s="346">
        <f t="shared" si="2"/>
        <v>747.01934230126153</v>
      </c>
      <c r="R20" s="346">
        <f t="shared" ca="1" si="3"/>
        <v>2420.2389607221749</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747.01934230126153</v>
      </c>
      <c r="AF20" s="346">
        <f t="shared" ca="1" si="15"/>
        <v>2420.2389607221749</v>
      </c>
      <c r="AJ20" s="539" t="s">
        <v>983</v>
      </c>
      <c r="AK20" s="539" t="s">
        <v>967</v>
      </c>
      <c r="AL20" s="539" t="s">
        <v>968</v>
      </c>
      <c r="AM20" s="539" t="s">
        <v>984</v>
      </c>
      <c r="AN20" s="539" t="s">
        <v>985</v>
      </c>
      <c r="AO20" s="539" t="s">
        <v>146</v>
      </c>
      <c r="AP20" s="539" t="s">
        <v>986</v>
      </c>
      <c r="AU20" s="91" t="s">
        <v>834</v>
      </c>
      <c r="AV20" s="68" t="s">
        <v>987</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x14ac:dyDescent="0.2">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841</v>
      </c>
      <c r="AV21" s="68" t="s">
        <v>987</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x14ac:dyDescent="0.2">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3.6429528045193993</v>
      </c>
      <c r="F22" s="346">
        <f>SUMIF('A-1 On-Site Habitat Baseline'!$G$11:$G$258,'G-2 Habitat groups'!A22,'A-1 On-Site Habitat Baseline'!$Q$11:$Q$258)</f>
        <v>14.635883498230989</v>
      </c>
      <c r="G22" s="346">
        <f>SUMIF('A-1 On-Site Habitat Baseline'!$G$11:$G$258,'G-2 Habitat groups'!A22,'A-1 On-Site Habitat Baseline'!$S$11:$S$258)</f>
        <v>7.9638060332717607E-3</v>
      </c>
      <c r="H22" s="346">
        <f>SUMIF('A-1 On-Site Habitat Baseline'!$G$11:$G$258,'G-2 Habitat groups'!A22,'A-1 On-Site Habitat Baseline'!$U$11:$U$258)</f>
        <v>3.1855224133087043E-2</v>
      </c>
      <c r="I22" s="346">
        <f>SUMIF('A-1 On-Site Habitat Baseline'!$G$11:$G$258,'G-2 Habitat groups'!A22,'A-1 On-Site Habitat Baseline'!$W$11:$W$258)</f>
        <v>3.6349889984861274</v>
      </c>
      <c r="J22" s="346">
        <f>SUMIF('A-1 On-Site Habitat Baseline'!$G$11:$G$258,'G-2 Habitat groups'!A22,'A-1 On-Site Habitat Baseline'!$X$11:$X$258)</f>
        <v>14.604028274097901</v>
      </c>
      <c r="K22" s="346">
        <f>SUMIF('A-2 On-Site Habitat Creation'!$F$11:$F$256,'G-2 Habitat groups'!A22,'A-2 On-Site Habitat Creation'!$G$11:$G$256)</f>
        <v>151.71647893418367</v>
      </c>
      <c r="L22" s="346">
        <f>SUMIF('A-2 On-Site Habitat Creation'!$F$11:$F$256,'G-2 Habitat groups'!A22,'A-2 On-Site Habitat Creation'!$Y$11:$Y$256)</f>
        <v>1307.3313601596014</v>
      </c>
      <c r="M22" s="346">
        <f>SUMIF('A-3 On-Site Habitat Enhancement'!$S$12:$S$257,'G-2 Habitat groups'!A22,'A-3 On-Site Habitat Enhancement'!$V$12:$V$257)</f>
        <v>10.218410390570172</v>
      </c>
      <c r="N22" s="346">
        <f ca="1">SUMIF('A-3 On-Site Habitat Enhancement'!$S$12:$S$257,'G-2 Habitat groups'!A22,'A-3 On-Site Habitat Enhancement'!$AN$12:$AN$257)</f>
        <v>74.832613585847582</v>
      </c>
      <c r="O22" s="346">
        <f t="shared" si="0"/>
        <v>161.94285313078711</v>
      </c>
      <c r="P22" s="346">
        <f t="shared" ca="1" si="1"/>
        <v>1382.1958289695822</v>
      </c>
      <c r="Q22" s="346">
        <f t="shared" si="2"/>
        <v>158.2999003262677</v>
      </c>
      <c r="R22" s="346">
        <f t="shared" ca="1" si="3"/>
        <v>1367.5599454713513</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158.2999003262677</v>
      </c>
      <c r="AF22" s="346">
        <f t="shared" ca="1" si="15"/>
        <v>1367.5599454713513</v>
      </c>
      <c r="AJ22" s="82" t="s">
        <v>125</v>
      </c>
      <c r="AK22" s="549">
        <f t="shared" si="27"/>
        <v>0</v>
      </c>
      <c r="AL22" s="549">
        <f t="shared" si="28"/>
        <v>0</v>
      </c>
      <c r="AM22" s="549">
        <f t="shared" si="29"/>
        <v>0</v>
      </c>
      <c r="AN22" s="549">
        <f t="shared" si="30"/>
        <v>0</v>
      </c>
      <c r="AO22" s="651">
        <f t="shared" si="31"/>
        <v>0</v>
      </c>
      <c r="AP22" s="651">
        <f t="shared" si="32"/>
        <v>0</v>
      </c>
      <c r="AU22" s="91" t="s">
        <v>848</v>
      </c>
      <c r="AV22" s="68" t="s">
        <v>987</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x14ac:dyDescent="0.2">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855</v>
      </c>
      <c r="AV23" s="68" t="s">
        <v>987</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x14ac:dyDescent="0.2">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879</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x14ac:dyDescent="0.2">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x14ac:dyDescent="0.2">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x14ac:dyDescent="0.2">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0" t="s">
        <v>213</v>
      </c>
    </row>
    <row r="28" spans="1:59" ht="15.6" customHeight="1" x14ac:dyDescent="0.2">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0"/>
      <c r="AV28" s="75"/>
      <c r="AW28" s="75"/>
      <c r="AX28" s="75"/>
      <c r="AY28" s="75"/>
      <c r="AZ28" s="75"/>
      <c r="BA28" s="75"/>
      <c r="BB28" s="75"/>
      <c r="BC28" s="75"/>
      <c r="BD28" s="75"/>
      <c r="BE28" s="75"/>
      <c r="BF28" s="75"/>
    </row>
    <row r="29" spans="1:59" ht="32.25" customHeight="1" x14ac:dyDescent="0.25">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971</v>
      </c>
      <c r="AV29" s="97" t="s">
        <v>220</v>
      </c>
      <c r="AW29" s="97" t="s">
        <v>972</v>
      </c>
      <c r="AX29" s="97" t="s">
        <v>973</v>
      </c>
      <c r="AY29" s="97" t="s">
        <v>974</v>
      </c>
      <c r="AZ29" s="97" t="s">
        <v>975</v>
      </c>
      <c r="BA29" s="97" t="s">
        <v>976</v>
      </c>
      <c r="BB29" s="97" t="s">
        <v>988</v>
      </c>
      <c r="BC29" s="97" t="s">
        <v>978</v>
      </c>
      <c r="BD29" s="97" t="s">
        <v>979</v>
      </c>
      <c r="BE29" s="97" t="s">
        <v>980</v>
      </c>
      <c r="BF29" s="97" t="s">
        <v>981</v>
      </c>
    </row>
    <row r="30" spans="1:59" x14ac:dyDescent="0.2">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511</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x14ac:dyDescent="0.2">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519</v>
      </c>
      <c r="AV31" s="68" t="s">
        <v>125</v>
      </c>
      <c r="AW31" s="358">
        <f t="shared" si="33"/>
        <v>0</v>
      </c>
      <c r="AX31" s="358">
        <f t="shared" si="34"/>
        <v>0</v>
      </c>
      <c r="AY31" s="358">
        <f t="shared" si="35"/>
        <v>92.652584800062627</v>
      </c>
      <c r="AZ31" s="358">
        <f t="shared" si="36"/>
        <v>306.95253745211028</v>
      </c>
      <c r="BA31" s="358">
        <f t="shared" si="37"/>
        <v>92.652584800062627</v>
      </c>
      <c r="BB31" s="358">
        <f t="shared" si="38"/>
        <v>306.95253745211028</v>
      </c>
      <c r="BC31" s="358">
        <f t="shared" si="39"/>
        <v>0</v>
      </c>
      <c r="BD31" s="358">
        <f t="shared" si="40"/>
        <v>0</v>
      </c>
      <c r="BE31" s="358">
        <f t="shared" si="41"/>
        <v>306.95253745211028</v>
      </c>
      <c r="BF31" s="358" t="str">
        <f t="shared" si="42"/>
        <v/>
      </c>
    </row>
    <row r="32" spans="1:59" x14ac:dyDescent="0.2">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524</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x14ac:dyDescent="0.2">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2.0071139935784337</v>
      </c>
      <c r="F33" s="346">
        <f>SUMIF('A-1 On-Site Habitat Baseline'!$G$11:$G$258,'G-2 Habitat groups'!A33,'A-1 On-Site Habitat Baseline'!$Q$11:$Q$258)</f>
        <v>17.149994559236568</v>
      </c>
      <c r="G33" s="346">
        <f>SUMIF('A-1 On-Site Habitat Baseline'!$G$11:$G$258,'G-2 Habitat groups'!A33,'A-1 On-Site Habitat Baseline'!$S$11:$S$258)</f>
        <v>0.33892049027738491</v>
      </c>
      <c r="H33" s="346">
        <f>SUMIF('A-1 On-Site Habitat Baseline'!$G$11:$G$258,'G-2 Habitat groups'!A33,'A-1 On-Site Habitat Baseline'!$U$11:$U$258)</f>
        <v>2.8397945135116149</v>
      </c>
      <c r="I33" s="346">
        <f>SUMIF('A-1 On-Site Habitat Baseline'!$G$11:$G$258,'G-2 Habitat groups'!A33,'A-1 On-Site Habitat Baseline'!$W$11:$W$258)</f>
        <v>1.6681935033010489</v>
      </c>
      <c r="J33" s="346">
        <f>SUMIF('A-1 On-Site Habitat Baseline'!$G$11:$G$258,'G-2 Habitat groups'!A33,'A-1 On-Site Habitat Baseline'!$X$11:$X$258)</f>
        <v>14.310200045724951</v>
      </c>
      <c r="K33" s="346">
        <f>SUMIF('A-2 On-Site Habitat Creation'!$F$11:$F$256,'G-2 Habitat groups'!A33,'A-2 On-Site Habitat Creation'!$G$11:$G$256)</f>
        <v>2.1186666074756419</v>
      </c>
      <c r="L33" s="346">
        <f>SUMIF('A-2 On-Site Habitat Creation'!$F$11:$F$256,'G-2 Habitat groups'!A33,'A-2 On-Site Habitat Creation'!$Y$11:$Y$256)</f>
        <v>14.495323270038837</v>
      </c>
      <c r="M33" s="346">
        <f>SUMIF('A-3 On-Site Habitat Enhancement'!$S$12:$S$257,'G-2 Habitat groups'!A33,'A-3 On-Site Habitat Enhancement'!$V$12:$V$257)</f>
        <v>0</v>
      </c>
      <c r="N33" s="346">
        <f>SUMIF('A-3 On-Site Habitat Enhancement'!$S$12:$S$257,'G-2 Habitat groups'!A33,'A-3 On-Site Habitat Enhancement'!$AN$12:$AN$257)</f>
        <v>0</v>
      </c>
      <c r="O33" s="346">
        <f t="shared" si="0"/>
        <v>2.4575870977530268</v>
      </c>
      <c r="P33" s="346">
        <f t="shared" si="1"/>
        <v>17.335117783550452</v>
      </c>
      <c r="Q33" s="346">
        <f t="shared" si="2"/>
        <v>0.45047310417459308</v>
      </c>
      <c r="R33" s="346">
        <f t="shared" si="3"/>
        <v>0.18512322431388384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0.45047310417459308</v>
      </c>
      <c r="AF33" s="346">
        <f t="shared" si="15"/>
        <v>0.18512322431388384</v>
      </c>
      <c r="AJ33" s="84" t="s">
        <v>136</v>
      </c>
      <c r="AK33" s="549">
        <f t="shared" si="27"/>
        <v>0</v>
      </c>
      <c r="AL33" s="549">
        <f t="shared" si="28"/>
        <v>0</v>
      </c>
      <c r="AM33" s="549">
        <f t="shared" si="29"/>
        <v>0</v>
      </c>
      <c r="AN33" s="549">
        <f t="shared" si="30"/>
        <v>0</v>
      </c>
      <c r="AO33" s="651">
        <f t="shared" si="31"/>
        <v>0</v>
      </c>
      <c r="AP33" s="651">
        <f t="shared" si="32"/>
        <v>0</v>
      </c>
      <c r="AU33" s="86" t="s">
        <v>551</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x14ac:dyDescent="0.2">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560</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x14ac:dyDescent="0.2">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989</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x14ac:dyDescent="0.2">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600</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x14ac:dyDescent="0.2">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612</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x14ac:dyDescent="0.2">
      <c r="A38" s="79" t="s">
        <v>609</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x14ac:dyDescent="0.2">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624</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x14ac:dyDescent="0.2">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627</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x14ac:dyDescent="0.2">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630</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x14ac:dyDescent="0.2">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633</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x14ac:dyDescent="0.2">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636</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x14ac:dyDescent="0.2">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639</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x14ac:dyDescent="0.2">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648</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x14ac:dyDescent="0.2">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656</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x14ac:dyDescent="0.2">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660</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x14ac:dyDescent="0.2">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1.9674123836259706E-2</v>
      </c>
      <c r="F48" s="346">
        <f>SUMIF('A-1 On-Site Habitat Baseline'!$G$11:$G$258,'G-2 Habitat groups'!A48,'A-1 On-Site Habitat Baseline'!$Q$11:$Q$258)</f>
        <v>9.0500969646794632E-2</v>
      </c>
      <c r="G48" s="346">
        <f>SUMIF('A-1 On-Site Habitat Baseline'!$G$11:$G$258,'G-2 Habitat groups'!A48,'A-1 On-Site Habitat Baseline'!$S$11:$S$258)</f>
        <v>1.9674123836259706E-2</v>
      </c>
      <c r="H48" s="346">
        <f>SUMIF('A-1 On-Site Habitat Baseline'!$G$11:$G$258,'G-2 Habitat groups'!A48,'A-1 On-Site Habitat Baseline'!$U$11:$U$258)</f>
        <v>9.0500969646794632E-2</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1.9674123836259706E-2</v>
      </c>
      <c r="P48" s="346">
        <f t="shared" si="44"/>
        <v>9.0500969646794632E-2</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669</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x14ac:dyDescent="0.2">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677</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x14ac:dyDescent="0.2">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718</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x14ac:dyDescent="0.2">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776</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x14ac:dyDescent="0.2">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782</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x14ac:dyDescent="0.2">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785</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x14ac:dyDescent="0.2">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30.915954484689941</v>
      </c>
      <c r="F54" s="346">
        <f>SUMIF('A-1 On-Site Habitat Baseline'!$G$11:$G$258,'G-2 Habitat groups'!A54,'A-1 On-Site Habitat Baseline'!$Q$11:$Q$258)</f>
        <v>64.37083245568688</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30.915954484689941</v>
      </c>
      <c r="J54" s="346">
        <f>SUMIF('A-1 On-Site Habitat Baseline'!$G$11:$G$258,'G-2 Habitat groups'!A54,'A-1 On-Site Habitat Baseline'!$X$11:$X$258)</f>
        <v>64.37083245568688</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-30.915954484689941</v>
      </c>
      <c r="R54" s="346">
        <f t="shared" si="46"/>
        <v>-64.37083245568688</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-30.915954484689941</v>
      </c>
      <c r="AF54" s="346">
        <f t="shared" si="52"/>
        <v>-64.37083245568688</v>
      </c>
      <c r="AU54" s="86" t="s">
        <v>789</v>
      </c>
      <c r="AV54" s="68" t="s">
        <v>131</v>
      </c>
      <c r="AW54" s="358">
        <f t="shared" si="33"/>
        <v>3.1117366642176708E-3</v>
      </c>
      <c r="AX54" s="358">
        <f t="shared" si="34"/>
        <v>0</v>
      </c>
      <c r="AY54" s="358">
        <f t="shared" si="35"/>
        <v>3.1117366642176708E-3</v>
      </c>
      <c r="AZ54" s="358">
        <f t="shared" si="36"/>
        <v>4.0033025022566074E-2</v>
      </c>
      <c r="BA54" s="358">
        <f t="shared" si="37"/>
        <v>0</v>
      </c>
      <c r="BB54" s="358">
        <f t="shared" si="38"/>
        <v>0</v>
      </c>
      <c r="BC54" s="358">
        <f t="shared" si="39"/>
        <v>0</v>
      </c>
      <c r="BD54" s="358">
        <f t="shared" si="40"/>
        <v>0</v>
      </c>
      <c r="BE54" s="358">
        <f t="shared" si="41"/>
        <v>0</v>
      </c>
      <c r="BF54" s="358" t="str">
        <f t="shared" si="42"/>
        <v/>
      </c>
    </row>
    <row r="55" spans="1:58" x14ac:dyDescent="0.2">
      <c r="A55" s="79" t="s">
        <v>667</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x14ac:dyDescent="0.2">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792</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x14ac:dyDescent="0.2">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810</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x14ac:dyDescent="0.2">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813</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x14ac:dyDescent="0.2">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816</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x14ac:dyDescent="0.2">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33.899979438177397</v>
      </c>
      <c r="L60" s="346">
        <f>SUMIF('A-2 On-Site Habitat Creation'!$F$11:$F$256,'G-2 Habitat groups'!A60,'A-2 On-Site Habitat Creation'!$Y$11:$Y$256)</f>
        <v>138.01928420492266</v>
      </c>
      <c r="M60" s="346">
        <f>SUMIF('A-3 On-Site Habitat Enhancement'!$S$12:$S$257,'G-2 Habitat groups'!A60,'A-3 On-Site Habitat Enhancement'!$V$12:$V$257)</f>
        <v>0</v>
      </c>
      <c r="N60" s="346">
        <f>SUMIF('A-3 On-Site Habitat Enhancement'!$S$12:$S$257,'G-2 Habitat groups'!A60,'A-3 On-Site Habitat Enhancement'!$AN$12:$AN$257)</f>
        <v>0</v>
      </c>
      <c r="O60" s="346">
        <f t="shared" si="43"/>
        <v>33.899979438177397</v>
      </c>
      <c r="P60" s="346">
        <f t="shared" si="44"/>
        <v>138.01928420492266</v>
      </c>
      <c r="Q60" s="346">
        <f t="shared" si="45"/>
        <v>33.899979438177397</v>
      </c>
      <c r="R60" s="346">
        <f t="shared" si="46"/>
        <v>138.01928420492266</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33.899979438177397</v>
      </c>
      <c r="AF60" s="346">
        <f t="shared" si="52"/>
        <v>138.01928420492266</v>
      </c>
      <c r="AU60" s="86" t="s">
        <v>821</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x14ac:dyDescent="0.2">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27.072712227318942</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27.072712227318942</v>
      </c>
      <c r="P61" s="346">
        <f t="shared" si="44"/>
        <v>0</v>
      </c>
      <c r="Q61" s="346">
        <f t="shared" si="45"/>
        <v>27.072712227318942</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27.072712227318942</v>
      </c>
      <c r="AF61" s="346">
        <f t="shared" si="52"/>
        <v>0</v>
      </c>
      <c r="AU61" s="86" t="s">
        <v>825</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x14ac:dyDescent="0.2">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830</v>
      </c>
      <c r="AV62" s="68" t="s">
        <v>987</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x14ac:dyDescent="0.2">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838</v>
      </c>
      <c r="AV63" s="68" t="s">
        <v>987</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x14ac:dyDescent="0.2">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845</v>
      </c>
      <c r="AV64" s="68" t="s">
        <v>987</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x14ac:dyDescent="0.2">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852</v>
      </c>
      <c r="AV65" s="68" t="s">
        <v>987</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x14ac:dyDescent="0.2">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2.9388800162003568</v>
      </c>
      <c r="F66" s="346">
        <f>SUMIF('A-1 On-Site Habitat Baseline'!$G$11:$G$258,'G-2 Habitat groups'!A66,'A-1 On-Site Habitat Baseline'!$Q$11:$Q$258)</f>
        <v>0</v>
      </c>
      <c r="G66" s="346">
        <f>SUMIF('A-1 On-Site Habitat Baseline'!$G$11:$G$258,'G-2 Habitat groups'!A66,'A-1 On-Site Habitat Baseline'!$S$11:$S$258)</f>
        <v>0.56959284820024814</v>
      </c>
      <c r="H66" s="346">
        <f>SUMIF('A-1 On-Site Habitat Baseline'!$G$11:$G$258,'G-2 Habitat groups'!A66,'A-1 On-Site Habitat Baseline'!$U$11:$U$258)</f>
        <v>0</v>
      </c>
      <c r="I66" s="346">
        <f>SUMIF('A-1 On-Site Habitat Baseline'!$G$11:$G$258,'G-2 Habitat groups'!A66,'A-1 On-Site Habitat Baseline'!$W$11:$W$258)</f>
        <v>2.3692871680001089</v>
      </c>
      <c r="J66" s="346">
        <f>SUMIF('A-1 On-Site Habitat Baseline'!$G$11:$G$258,'G-2 Habitat groups'!A66,'A-1 On-Site Habitat Baseline'!$X$11:$X$258)</f>
        <v>0</v>
      </c>
      <c r="K66" s="346">
        <f>SUMIF('A-2 On-Site Habitat Creation'!$F$11:$F$256,'G-2 Habitat groups'!A66,'A-2 On-Site Habitat Creation'!$G$11:$G$256)</f>
        <v>4.978125696762552</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5.5477185449627999</v>
      </c>
      <c r="P66" s="346">
        <f t="shared" si="44"/>
        <v>0</v>
      </c>
      <c r="Q66" s="346">
        <f t="shared" si="45"/>
        <v>2.6088385287624432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2.6088385287624432</v>
      </c>
      <c r="AF66" s="346">
        <f t="shared" si="52"/>
        <v>0</v>
      </c>
      <c r="AU66" s="68" t="s">
        <v>870</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x14ac:dyDescent="0.2">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873</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x14ac:dyDescent="0.2">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859</v>
      </c>
      <c r="AV68" s="68" t="s">
        <v>990</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x14ac:dyDescent="0.2">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883</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x14ac:dyDescent="0.2">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887</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x14ac:dyDescent="0.2">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890</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x14ac:dyDescent="0.2">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917</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x14ac:dyDescent="0.2">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x14ac:dyDescent="0.2">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x14ac:dyDescent="0.2">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x14ac:dyDescent="0.2">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x14ac:dyDescent="0.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x14ac:dyDescent="0.25">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971</v>
      </c>
      <c r="AV78" s="97" t="s">
        <v>220</v>
      </c>
      <c r="AW78" s="98" t="s">
        <v>972</v>
      </c>
      <c r="AX78" s="98" t="s">
        <v>973</v>
      </c>
      <c r="AY78" s="98" t="s">
        <v>974</v>
      </c>
      <c r="AZ78" s="98" t="s">
        <v>975</v>
      </c>
      <c r="BA78" s="98" t="s">
        <v>976</v>
      </c>
      <c r="BB78" s="98" t="s">
        <v>977</v>
      </c>
      <c r="BC78" s="98" t="s">
        <v>978</v>
      </c>
      <c r="BD78" s="97" t="s">
        <v>979</v>
      </c>
      <c r="BE78" s="98" t="s">
        <v>980</v>
      </c>
      <c r="BF78" s="98" t="s">
        <v>991</v>
      </c>
      <c r="BG78" s="93"/>
    </row>
    <row r="79" spans="1:59" x14ac:dyDescent="0.2">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463</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x14ac:dyDescent="0.2">
      <c r="A80" s="79" t="s">
        <v>738</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0.87177402695285611</v>
      </c>
      <c r="F80" s="346">
        <f>SUMIF('A-1 On-Site Habitat Baseline'!$G$11:$G$258,'G-2 Habitat groups'!A80,'A-1 On-Site Habitat Baseline'!$Q$11:$Q$258)</f>
        <v>1.7707742577520333</v>
      </c>
      <c r="G80" s="346">
        <f>SUMIF('A-1 On-Site Habitat Baseline'!$G$11:$G$258,'G-2 Habitat groups'!A80,'A-1 On-Site Habitat Baseline'!$S$11:$S$258)</f>
        <v>0.50745128998613487</v>
      </c>
      <c r="H80" s="346">
        <f>SUMIF('A-1 On-Site Habitat Baseline'!$G$11:$G$258,'G-2 Habitat groups'!A80,'A-1 On-Site Habitat Baseline'!$U$11:$U$258)</f>
        <v>1.0154136191721788</v>
      </c>
      <c r="I80" s="346">
        <f>SUMIF('A-1 On-Site Habitat Baseline'!$G$11:$G$258,'G-2 Habitat groups'!A80,'A-1 On-Site Habitat Baseline'!$W$11:$W$258)</f>
        <v>0.36432273696672124</v>
      </c>
      <c r="J80" s="346">
        <f>SUMIF('A-1 On-Site Habitat Baseline'!$G$11:$G$258,'G-2 Habitat groups'!A80,'A-1 On-Site Habitat Baseline'!$X$11:$X$258)</f>
        <v>0.75536063857985469</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0.50745128998613487</v>
      </c>
      <c r="P80" s="346">
        <f t="shared" si="54"/>
        <v>1.0154136191721788</v>
      </c>
      <c r="Q80" s="346">
        <f t="shared" si="55"/>
        <v>-0.36432273696672124</v>
      </c>
      <c r="R80" s="346">
        <f t="shared" si="56"/>
        <v>-0.75536063857985458</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-0.36432273696672124</v>
      </c>
      <c r="AF80" s="346">
        <f t="shared" si="62"/>
        <v>-0.75536063857985458</v>
      </c>
      <c r="AU80" s="79" t="s">
        <v>747</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x14ac:dyDescent="0.2">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471</v>
      </c>
      <c r="AV81" s="68" t="s">
        <v>124</v>
      </c>
      <c r="AW81" s="358">
        <f>VLOOKUP($AU81,AllHabsSummaryData,5,FALSE)</f>
        <v>1.2037552616659961</v>
      </c>
      <c r="AX81" s="358">
        <f>VLOOKUP($AU81,AllHabsSummaryData,10,FALSE)</f>
        <v>5.2538702437189082</v>
      </c>
      <c r="AY81" s="358">
        <f>VLOOKUP($AU81,AllHabsSummaryData,15,FALSE)</f>
        <v>4.6578504921981683E-3</v>
      </c>
      <c r="AZ81" s="358">
        <f>VLOOKUP($AU81,AllHabsSummaryData,16,FALSE)</f>
        <v>1.8631401968792673E-2</v>
      </c>
      <c r="BA81" s="358">
        <f>VLOOKUP($AU81,AllHabsSummaryData,17,FALSE)</f>
        <v>-1.199097411173798</v>
      </c>
      <c r="BB81" s="358">
        <f>VLOOKUP($AU81,AllHabsSummaryData,18,FALSE)</f>
        <v>-5.2538702437189082</v>
      </c>
      <c r="BC81" s="358">
        <f>VLOOKUP($AU81,AllHabsSummaryData,27,FALSE)</f>
        <v>0</v>
      </c>
      <c r="BD81" s="358">
        <f>VLOOKUP($AU81,AllHabsSummaryData,30,FALSE)</f>
        <v>0</v>
      </c>
      <c r="BE81" s="358">
        <f>BB81+BD81</f>
        <v>-5.2538702437189082</v>
      </c>
      <c r="BF81" s="358">
        <f>IF(BE81&lt;0,BE81,"")</f>
        <v>-5.2538702437189082</v>
      </c>
    </row>
    <row r="82" spans="1:58" x14ac:dyDescent="0.2">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475</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x14ac:dyDescent="0.2">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479</v>
      </c>
      <c r="AV83" s="68" t="s">
        <v>124</v>
      </c>
      <c r="AW83" s="358">
        <f>VLOOKUP($AU83,AllHabsSummaryData,5,FALSE)</f>
        <v>2.0011045622841146</v>
      </c>
      <c r="AX83" s="358">
        <f>VLOOKUP($AU83,AllHabsSummaryData,10,FALSE)</f>
        <v>7.0125327718945432</v>
      </c>
      <c r="AY83" s="358">
        <f>VLOOKUP($AU83,AllHabsSummaryData,15,FALSE)</f>
        <v>0.24797136931047892</v>
      </c>
      <c r="AZ83" s="358">
        <f>VLOOKUP($AU83,AllHabsSummaryData,16,FALSE)</f>
        <v>0.99188547724191567</v>
      </c>
      <c r="BA83" s="358">
        <f>VLOOKUP($AU83,AllHabsSummaryData,17,FALSE)</f>
        <v>-1.7531331929736358</v>
      </c>
      <c r="BB83" s="358">
        <f>VLOOKUP($AU83,AllHabsSummaryData,18,FALSE)</f>
        <v>-7.0125327718945432</v>
      </c>
      <c r="BC83" s="358">
        <f>VLOOKUP($AU83,AllHabsSummaryData,27,FALSE)</f>
        <v>0</v>
      </c>
      <c r="BD83" s="358">
        <f>VLOOKUP($AU83,AllHabsSummaryData,30,FALSE)</f>
        <v>0</v>
      </c>
      <c r="BE83" s="358">
        <f>BB83+BD83</f>
        <v>-7.0125327718945432</v>
      </c>
      <c r="BF83" s="358">
        <f>IF(BE83&lt;0,BE83,"")</f>
        <v>-7.0125327718945432</v>
      </c>
    </row>
    <row r="84" spans="1:58" x14ac:dyDescent="0.2">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545</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x14ac:dyDescent="0.2">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548</v>
      </c>
      <c r="AV85" s="68" t="s">
        <v>125</v>
      </c>
      <c r="AW85" s="358">
        <f t="shared" si="63"/>
        <v>3.6429528045193993</v>
      </c>
      <c r="AX85" s="358">
        <f t="shared" si="64"/>
        <v>14.604028274097901</v>
      </c>
      <c r="AY85" s="358">
        <f t="shared" si="65"/>
        <v>161.94285313078711</v>
      </c>
      <c r="AZ85" s="358">
        <f t="shared" ca="1" si="66"/>
        <v>1382.1958289695822</v>
      </c>
      <c r="BA85" s="358">
        <f t="shared" si="67"/>
        <v>158.2999003262677</v>
      </c>
      <c r="BB85" s="358">
        <f t="shared" ca="1" si="68"/>
        <v>1367.5599454713513</v>
      </c>
      <c r="BC85" s="358">
        <f t="shared" si="69"/>
        <v>0</v>
      </c>
      <c r="BD85" s="358">
        <f t="shared" si="70"/>
        <v>0</v>
      </c>
      <c r="BE85" s="358">
        <f t="shared" ca="1" si="71"/>
        <v>1367.5599454713513</v>
      </c>
      <c r="BF85" s="358" t="str">
        <f t="shared" ca="1" si="72"/>
        <v/>
      </c>
    </row>
    <row r="86" spans="1:58" x14ac:dyDescent="0.2">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557</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x14ac:dyDescent="0.2">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566</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x14ac:dyDescent="0.2">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571</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x14ac:dyDescent="0.2">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574</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x14ac:dyDescent="0.2">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577</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x14ac:dyDescent="0.2">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580</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x14ac:dyDescent="0.2">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3.1117366642176708E-3</v>
      </c>
      <c r="F92" s="346">
        <f>SUMIF('A-1 On-Site Habitat Baseline'!$G$11:$G$258,'G-2 Habitat groups'!A92,'A-1 On-Site Habitat Baseline'!$Q$11:$Q$258)</f>
        <v>4.0033025022566074E-2</v>
      </c>
      <c r="G92" s="346">
        <f>SUMIF('A-1 On-Site Habitat Baseline'!$G$11:$G$258,'G-2 Habitat groups'!A92,'A-1 On-Site Habitat Baseline'!$S$11:$S$258)</f>
        <v>3.1117366642176708E-3</v>
      </c>
      <c r="H92" s="346">
        <f>SUMIF('A-1 On-Site Habitat Baseline'!$G$11:$G$258,'G-2 Habitat groups'!A92,'A-1 On-Site Habitat Baseline'!$U$11:$U$258)</f>
        <v>4.0033025022566074E-2</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3.1117366642176708E-3</v>
      </c>
      <c r="P92" s="346">
        <f t="shared" si="54"/>
        <v>4.0033025022566074E-2</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590</v>
      </c>
      <c r="AV92" s="68" t="s">
        <v>126</v>
      </c>
      <c r="AW92" s="358">
        <f t="shared" si="63"/>
        <v>2.0071139935784337</v>
      </c>
      <c r="AX92" s="358">
        <f t="shared" si="64"/>
        <v>14.310200045724951</v>
      </c>
      <c r="AY92" s="358">
        <f t="shared" si="65"/>
        <v>2.4575870977530268</v>
      </c>
      <c r="AZ92" s="358">
        <f t="shared" si="66"/>
        <v>17.335117783550452</v>
      </c>
      <c r="BA92" s="358">
        <f t="shared" si="67"/>
        <v>0.45047310417459308</v>
      </c>
      <c r="BB92" s="358">
        <f t="shared" si="68"/>
        <v>0.18512322431388384</v>
      </c>
      <c r="BC92" s="358">
        <f t="shared" si="69"/>
        <v>0</v>
      </c>
      <c r="BD92" s="358">
        <f t="shared" si="70"/>
        <v>0</v>
      </c>
      <c r="BE92" s="358">
        <f t="shared" si="71"/>
        <v>0.18512322431388384</v>
      </c>
      <c r="BF92" s="358" t="str">
        <f t="shared" si="72"/>
        <v/>
      </c>
    </row>
    <row r="93" spans="1:58" x14ac:dyDescent="0.2">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642</v>
      </c>
      <c r="AV93" s="68" t="s">
        <v>127</v>
      </c>
      <c r="AW93" s="358">
        <f t="shared" si="63"/>
        <v>1.9674123836259706E-2</v>
      </c>
      <c r="AX93" s="358">
        <f t="shared" si="64"/>
        <v>0</v>
      </c>
      <c r="AY93" s="358">
        <f t="shared" si="65"/>
        <v>1.9674123836259706E-2</v>
      </c>
      <c r="AZ93" s="358">
        <f t="shared" si="66"/>
        <v>9.0500969646794632E-2</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x14ac:dyDescent="0.2">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0.32989349419835107</v>
      </c>
      <c r="F94" s="346">
        <f>SUMIF('A-1 On-Site Habitat Baseline'!$G$11:$G$258,'G-2 Habitat groups'!A94,'A-1 On-Site Habitat Baseline'!$Q$11:$Q$258)</f>
        <v>1.3195739767934043</v>
      </c>
      <c r="G94" s="346">
        <f>SUMIF('A-1 On-Site Habitat Baseline'!$G$11:$G$258,'G-2 Habitat groups'!A94,'A-1 On-Site Habitat Baseline'!$S$11:$S$258)</f>
        <v>0.32989349419835107</v>
      </c>
      <c r="H94" s="346">
        <f>SUMIF('A-1 On-Site Habitat Baseline'!$G$11:$G$258,'G-2 Habitat groups'!A94,'A-1 On-Site Habitat Baseline'!$U$11:$U$258)</f>
        <v>1.3195739767934043</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0.32989349419835107</v>
      </c>
      <c r="P94" s="346">
        <f t="shared" si="54"/>
        <v>1.3195739767934043</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646</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x14ac:dyDescent="0.2">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682</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x14ac:dyDescent="0.2">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9.8822704391636567</v>
      </c>
      <c r="F96" s="346">
        <f>SUMIF('A-1 On-Site Habitat Baseline'!$G$11:$G$258,'G-2 Habitat groups'!A96,'A-1 On-Site Habitat Baseline'!$Q$11:$Q$258)</f>
        <v>79.843961595616719</v>
      </c>
      <c r="G96" s="346">
        <f>SUMIF('A-1 On-Site Habitat Baseline'!$G$11:$G$258,'G-2 Habitat groups'!A96,'A-1 On-Site Habitat Baseline'!$S$11:$S$258)</f>
        <v>9.5132812723364122</v>
      </c>
      <c r="H96" s="346">
        <f>SUMIF('A-1 On-Site Habitat Baseline'!$G$11:$G$258,'G-2 Habitat groups'!A96,'A-1 On-Site Habitat Baseline'!$U$11:$U$258)</f>
        <v>76.802415074053926</v>
      </c>
      <c r="I96" s="346">
        <f>SUMIF('A-1 On-Site Habitat Baseline'!$G$11:$G$258,'G-2 Habitat groups'!A96,'A-1 On-Site Habitat Baseline'!$W$11:$W$258)</f>
        <v>0.36898916682724503</v>
      </c>
      <c r="J96" s="346">
        <f>SUMIF('A-1 On-Site Habitat Baseline'!$G$11:$G$258,'G-2 Habitat groups'!A96,'A-1 On-Site Habitat Baseline'!$X$11:$X$258)</f>
        <v>3.0415465215627915</v>
      </c>
      <c r="K96" s="346">
        <f>SUMIF('A-2 On-Site Habitat Creation'!$F$11:$F$256,'G-2 Habitat groups'!A96,'A-2 On-Site Habitat Creation'!$G$11:$G$256)</f>
        <v>4.4450989866717459</v>
      </c>
      <c r="L96" s="346">
        <f>SUMIF('A-2 On-Site Habitat Creation'!$F$11:$F$256,'G-2 Habitat groups'!A96,'A-2 On-Site Habitat Creation'!$Y$11:$Y$256)</f>
        <v>21.022408819183703</v>
      </c>
      <c r="M96" s="346">
        <f>SUMIF('A-3 On-Site Habitat Enhancement'!$S$12:$S$257,'G-2 Habitat groups'!A96,'A-3 On-Site Habitat Enhancement'!$V$12:$V$257)</f>
        <v>0</v>
      </c>
      <c r="N96" s="346">
        <f>SUMIF('A-3 On-Site Habitat Enhancement'!$S$12:$S$257,'G-2 Habitat groups'!A96,'A-3 On-Site Habitat Enhancement'!$AN$12:$AN$257)</f>
        <v>0</v>
      </c>
      <c r="O96" s="346">
        <f t="shared" si="53"/>
        <v>13.958380259008159</v>
      </c>
      <c r="P96" s="346">
        <f t="shared" si="54"/>
        <v>97.824823893237635</v>
      </c>
      <c r="Q96" s="346">
        <f t="shared" si="55"/>
        <v>4.0761098198445023</v>
      </c>
      <c r="R96" s="346">
        <f t="shared" si="56"/>
        <v>17.980862297620916</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4.0761098198445023</v>
      </c>
      <c r="AF96" s="346">
        <f t="shared" si="62"/>
        <v>17.980862297620916</v>
      </c>
      <c r="AU96" s="79" t="s">
        <v>698</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x14ac:dyDescent="0.2">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713</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x14ac:dyDescent="0.2">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800</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x14ac:dyDescent="0.2">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804</v>
      </c>
      <c r="AV99" s="68" t="s">
        <v>131</v>
      </c>
      <c r="AW99" s="358">
        <f t="shared" si="63"/>
        <v>9.8822704391636567</v>
      </c>
      <c r="AX99" s="358">
        <f t="shared" si="64"/>
        <v>3.0415465215627915</v>
      </c>
      <c r="AY99" s="358">
        <f t="shared" si="65"/>
        <v>13.958380259008159</v>
      </c>
      <c r="AZ99" s="358">
        <f t="shared" si="66"/>
        <v>97.824823893237635</v>
      </c>
      <c r="BA99" s="358">
        <f t="shared" si="67"/>
        <v>4.0761098198445023</v>
      </c>
      <c r="BB99" s="358">
        <f t="shared" si="68"/>
        <v>17.980862297620916</v>
      </c>
      <c r="BC99" s="358">
        <f t="shared" si="69"/>
        <v>0</v>
      </c>
      <c r="BD99" s="358">
        <f t="shared" si="70"/>
        <v>0</v>
      </c>
      <c r="BE99" s="358">
        <f t="shared" si="73"/>
        <v>17.980862297620916</v>
      </c>
      <c r="BF99" s="358" t="str">
        <f t="shared" si="74"/>
        <v/>
      </c>
    </row>
    <row r="100" spans="1:59" x14ac:dyDescent="0.2">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807</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x14ac:dyDescent="0.2">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867</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x14ac:dyDescent="0.2">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914</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28.5" x14ac:dyDescent="0.2">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926</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x14ac:dyDescent="0.2">
      <c r="A104" s="79" t="str">
        <f>'G-1 All Habitats'!B104</f>
        <v>Rocky shore - High energy littoral rock</v>
      </c>
      <c r="B104" s="68" t="str">
        <f>'G-1 All Habitats'!F104</f>
        <v xml:space="preserve">Rocky shore </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609</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x14ac:dyDescent="0.2">
      <c r="A105" s="79" t="str">
        <f>'G-1 All Habitats'!B105</f>
        <v>Rocky shore - High energy littoral rock - on peat, clay or chalk</v>
      </c>
      <c r="B105" s="68" t="str">
        <f>'G-1 All Habitats'!F105</f>
        <v xml:space="preserve">Rocky shore </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743</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x14ac:dyDescent="0.2">
      <c r="A106" s="79" t="str">
        <f>'G-1 All Habitats'!B106</f>
        <v>Rocky shore - Moderate energy littoral rock</v>
      </c>
      <c r="B106" s="68" t="str">
        <f>'G-1 All Habitats'!F106</f>
        <v xml:space="preserve">Rocky shore </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x14ac:dyDescent="0.2">
      <c r="A107" s="79" t="str">
        <f>'G-1 All Habitats'!B107</f>
        <v>Rocky shore - Moderate energy littoral rock - on peat, clay or chalk</v>
      </c>
      <c r="B107" s="68" t="str">
        <f>'G-1 All Habitats'!F107</f>
        <v xml:space="preserve">Rocky shore </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x14ac:dyDescent="0.2">
      <c r="A108" s="79" t="str">
        <f>'G-1 All Habitats'!B108</f>
        <v>Rocky shore - Low energy littoral rock</v>
      </c>
      <c r="B108" s="68" t="str">
        <f>'G-1 All Habitats'!F108</f>
        <v xml:space="preserve">Rocky shore </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x14ac:dyDescent="0.2">
      <c r="A109" s="79" t="str">
        <f>'G-1 All Habitats'!B109</f>
        <v>Rocky shore - Low energy littoral rock - on peat, clay or chalk</v>
      </c>
      <c r="B109" s="68" t="str">
        <f>'G-1 All Habitats'!F109</f>
        <v xml:space="preserve">Rocky shore </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x14ac:dyDescent="0.2">
      <c r="A110" s="79" t="str">
        <f>'G-1 All Habitats'!B110</f>
        <v>Rocky shore - Features of littoral rock</v>
      </c>
      <c r="B110" s="68" t="str">
        <f>'G-1 All Habitats'!F110</f>
        <v xml:space="preserve">Rocky shore </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x14ac:dyDescent="0.45">
      <c r="A111" s="79" t="str">
        <f>'G-1 All Habitats'!B111</f>
        <v>Rocky shore - Features of littoral rock - on peat, clay or chalk</v>
      </c>
      <c r="B111" s="68" t="str">
        <f>'G-1 All Habitats'!F111</f>
        <v xml:space="preserve">Rocky shore </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x14ac:dyDescent="0.25">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971</v>
      </c>
      <c r="AV112" s="97" t="s">
        <v>220</v>
      </c>
      <c r="AW112" s="98" t="s">
        <v>972</v>
      </c>
      <c r="AX112" s="98" t="s">
        <v>973</v>
      </c>
      <c r="AY112" s="98" t="s">
        <v>974</v>
      </c>
      <c r="AZ112" s="98" t="s">
        <v>975</v>
      </c>
      <c r="BA112" s="98" t="s">
        <v>976</v>
      </c>
      <c r="BB112" s="98" t="s">
        <v>977</v>
      </c>
      <c r="BC112" s="98" t="s">
        <v>978</v>
      </c>
      <c r="BD112" s="98" t="s">
        <v>979</v>
      </c>
      <c r="BE112" s="98" t="s">
        <v>980</v>
      </c>
      <c r="BF112" s="98" t="s">
        <v>991</v>
      </c>
      <c r="BG112" s="31"/>
    </row>
    <row r="113" spans="1:58" x14ac:dyDescent="0.2">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485</v>
      </c>
      <c r="AV113" s="68" t="s">
        <v>124</v>
      </c>
      <c r="AW113" s="358">
        <f t="shared" ref="AW113:AW121" si="87">VLOOKUP($AU113,AllHabsSummaryData,5,FALSE)</f>
        <v>1034.8654400600044</v>
      </c>
      <c r="AX113" s="358">
        <f>VLOOKUP($AU113,AllHabsSummaryData,10,FALSE)</f>
        <v>2094.4421082171812</v>
      </c>
      <c r="AY113" s="358">
        <f>VLOOKUP($AU113,AllHabsSummaryData,15,FALSE)</f>
        <v>3.0411188599818937</v>
      </c>
      <c r="AZ113" s="358">
        <f>VLOOKUP($AU113,AllHabsSummaryData,16,FALSE)</f>
        <v>6.1668273361356443</v>
      </c>
      <c r="BA113" s="358">
        <f>VLOOKUP($AU113,AllHabsSummaryData,17,FALSE)</f>
        <v>-1031.8243212000225</v>
      </c>
      <c r="BB113" s="358">
        <f>VLOOKUP($AU113,AllHabsSummaryData,18,FALSE)</f>
        <v>-2094.250498758412</v>
      </c>
      <c r="BC113" s="358">
        <f>VLOOKUP($AU113,AllHabsSummaryData,27,FALSE)</f>
        <v>0</v>
      </c>
      <c r="BD113" s="358">
        <f>VLOOKUP($AU113,AllHabsSummaryData,30,FALSE)</f>
        <v>0</v>
      </c>
      <c r="BE113" s="358">
        <f t="shared" ref="BE113:BE151" si="88">BB113+BD113</f>
        <v>-2094.250498758412</v>
      </c>
      <c r="BF113" s="358">
        <f t="shared" ref="BF113:BF151" si="89">IF(BE113&lt;0,BE113,"")</f>
        <v>-2094.250498758412</v>
      </c>
    </row>
    <row r="114" spans="1:58" x14ac:dyDescent="0.2">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495</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x14ac:dyDescent="0.2">
      <c r="A115" s="79" t="str">
        <f>'G-1 All Habitats'!B112</f>
        <v>Coastal saltmarsh - Saltmarshes and saline reedbeds</v>
      </c>
      <c r="B115" s="68" t="str">
        <f>'G-1 All Habitats'!F112</f>
        <v xml:space="preserve">Coastal saltmarsh </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499</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x14ac:dyDescent="0.2">
      <c r="A116" s="79" t="str">
        <f>'G-1 All Habitats'!B113</f>
        <v>Coastal saltmarsh - Artificial saltmarshes and saline reedbeds</v>
      </c>
      <c r="B116" s="68" t="str">
        <f>'G-1 All Habitats'!F113</f>
        <v xml:space="preserve">Coastal saltmarsh </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503</v>
      </c>
      <c r="AV116" s="68" t="s">
        <v>124</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x14ac:dyDescent="0.2">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507</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x14ac:dyDescent="0.2">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491</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x14ac:dyDescent="0.2">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541</v>
      </c>
      <c r="AV119" s="68" t="s">
        <v>125</v>
      </c>
      <c r="AW119" s="358">
        <f t="shared" si="87"/>
        <v>122.25040496451822</v>
      </c>
      <c r="AX119" s="358">
        <f t="shared" si="90"/>
        <v>214.61182800146855</v>
      </c>
      <c r="AY119" s="358">
        <f t="shared" si="91"/>
        <v>869.26974726577976</v>
      </c>
      <c r="AZ119" s="358">
        <f t="shared" ca="1" si="92"/>
        <v>2685.40222487766</v>
      </c>
      <c r="BA119" s="358">
        <f t="shared" si="93"/>
        <v>747.01934230126153</v>
      </c>
      <c r="BB119" s="358">
        <f t="shared" ca="1" si="94"/>
        <v>2420.2389607221749</v>
      </c>
      <c r="BC119" s="358">
        <f t="shared" si="95"/>
        <v>0</v>
      </c>
      <c r="BD119" s="358">
        <f t="shared" si="96"/>
        <v>0</v>
      </c>
      <c r="BE119" s="358">
        <f t="shared" ca="1" si="88"/>
        <v>2420.2389607221749</v>
      </c>
      <c r="BF119" s="358" t="str">
        <f t="shared" ca="1" si="89"/>
        <v/>
      </c>
    </row>
    <row r="120" spans="1:58" x14ac:dyDescent="0.2">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514</v>
      </c>
      <c r="AV120" s="68" t="s">
        <v>125</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x14ac:dyDescent="0.2">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597</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x14ac:dyDescent="0.2">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621</v>
      </c>
      <c r="AV122" s="68" t="s">
        <v>127</v>
      </c>
      <c r="AW122" s="358">
        <f>VLOOKUP($AU123,AllHabsSummaryData,5,FALSE)</f>
        <v>30.915954484689941</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x14ac:dyDescent="0.2">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992</v>
      </c>
      <c r="AV123" s="68" t="s">
        <v>128</v>
      </c>
      <c r="AW123" s="358">
        <f>VLOOKUP($AU124,AllHabsSummaryData,5,FALSE)</f>
        <v>0</v>
      </c>
      <c r="AX123" s="358">
        <f t="shared" si="90"/>
        <v>64.37083245568688</v>
      </c>
      <c r="AY123" s="358">
        <f t="shared" si="91"/>
        <v>0</v>
      </c>
      <c r="AZ123" s="358">
        <f t="shared" si="92"/>
        <v>0</v>
      </c>
      <c r="BA123" s="358">
        <f t="shared" si="93"/>
        <v>-30.915954484689941</v>
      </c>
      <c r="BB123" s="358">
        <f t="shared" si="94"/>
        <v>-64.37083245568688</v>
      </c>
      <c r="BC123" s="358">
        <f t="shared" si="95"/>
        <v>0</v>
      </c>
      <c r="BD123" s="358">
        <f t="shared" si="96"/>
        <v>0</v>
      </c>
      <c r="BE123" s="358">
        <f t="shared" si="88"/>
        <v>-64.37083245568688</v>
      </c>
      <c r="BF123" s="358">
        <f t="shared" si="89"/>
        <v>-64.37083245568688</v>
      </c>
    </row>
    <row r="124" spans="1:58" x14ac:dyDescent="0.2">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690</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x14ac:dyDescent="0.2">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685</v>
      </c>
      <c r="AV125" s="68" t="s">
        <v>129</v>
      </c>
      <c r="AW125" s="358">
        <f t="shared" si="97"/>
        <v>0</v>
      </c>
      <c r="AX125" s="358">
        <f t="shared" si="90"/>
        <v>0</v>
      </c>
      <c r="AY125" s="358">
        <f t="shared" si="91"/>
        <v>33.899979438177397</v>
      </c>
      <c r="AZ125" s="358">
        <f t="shared" si="92"/>
        <v>138.01928420492266</v>
      </c>
      <c r="BA125" s="358">
        <f t="shared" si="93"/>
        <v>33.899979438177397</v>
      </c>
      <c r="BB125" s="358">
        <f t="shared" si="94"/>
        <v>138.01928420492266</v>
      </c>
      <c r="BC125" s="358">
        <f t="shared" si="95"/>
        <v>0</v>
      </c>
      <c r="BD125" s="358">
        <f t="shared" si="96"/>
        <v>0</v>
      </c>
      <c r="BE125" s="358">
        <f t="shared" si="88"/>
        <v>138.01928420492266</v>
      </c>
      <c r="BF125" s="358" t="str">
        <f t="shared" si="89"/>
        <v/>
      </c>
    </row>
    <row r="126" spans="1:58" x14ac:dyDescent="0.2">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706</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x14ac:dyDescent="0.2">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709</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x14ac:dyDescent="0.2">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711</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x14ac:dyDescent="0.2">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703</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x14ac:dyDescent="0.2">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716</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x14ac:dyDescent="0.2">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724</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x14ac:dyDescent="0.2">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726</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x14ac:dyDescent="0.2">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x14ac:dyDescent="0.2">
      <c r="A134" s="79" t="s">
        <v>929</v>
      </c>
      <c r="B134" s="68" t="str">
        <f>'G-1 All Habitats'!F134</f>
        <v>Watercourse footprint</v>
      </c>
      <c r="C134" s="68" t="s">
        <v>487</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738</v>
      </c>
      <c r="AV134" s="68" t="s">
        <v>129</v>
      </c>
      <c r="AW134" s="358">
        <f t="shared" si="97"/>
        <v>0.87177402695285611</v>
      </c>
      <c r="AX134" s="358">
        <f t="shared" si="90"/>
        <v>0.75536063857985469</v>
      </c>
      <c r="AY134" s="358">
        <f t="shared" si="91"/>
        <v>0.50745128998613487</v>
      </c>
      <c r="AZ134" s="358">
        <f t="shared" si="92"/>
        <v>1.0154136191721788</v>
      </c>
      <c r="BA134" s="358">
        <f t="shared" si="93"/>
        <v>-0.36432273696672124</v>
      </c>
      <c r="BB134" s="358">
        <f t="shared" si="94"/>
        <v>-0.75536063857985458</v>
      </c>
      <c r="BC134" s="358">
        <f t="shared" si="95"/>
        <v>0</v>
      </c>
      <c r="BD134" s="358">
        <f t="shared" si="96"/>
        <v>0</v>
      </c>
      <c r="BE134" s="358">
        <f t="shared" si="88"/>
        <v>-0.75536063857985458</v>
      </c>
      <c r="BF134" s="358">
        <f t="shared" si="89"/>
        <v>-0.75536063857985458</v>
      </c>
    </row>
    <row r="135" spans="1:58" x14ac:dyDescent="0.2">
      <c r="A135" s="79" t="s">
        <v>747</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729</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x14ac:dyDescent="0.2">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735</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x14ac:dyDescent="0.2">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741</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x14ac:dyDescent="0.2">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797</v>
      </c>
      <c r="AV138" s="68" t="s">
        <v>131</v>
      </c>
      <c r="AW138" s="358">
        <f t="shared" si="97"/>
        <v>0.32989349419835107</v>
      </c>
      <c r="AX138" s="358">
        <f t="shared" si="90"/>
        <v>0</v>
      </c>
      <c r="AY138" s="358">
        <f t="shared" si="91"/>
        <v>0.32989349419835107</v>
      </c>
      <c r="AZ138" s="358">
        <f t="shared" si="92"/>
        <v>1.3195739767934043</v>
      </c>
      <c r="BA138" s="358">
        <f t="shared" si="93"/>
        <v>0</v>
      </c>
      <c r="BB138" s="358">
        <f t="shared" si="94"/>
        <v>0</v>
      </c>
      <c r="BC138" s="358">
        <f t="shared" si="95"/>
        <v>0</v>
      </c>
      <c r="BD138" s="358">
        <f t="shared" si="96"/>
        <v>0</v>
      </c>
      <c r="BE138" s="358">
        <f t="shared" si="88"/>
        <v>0</v>
      </c>
      <c r="BF138" s="358" t="str">
        <f t="shared" si="89"/>
        <v/>
      </c>
    </row>
    <row r="139" spans="1:58" x14ac:dyDescent="0.2">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864</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x14ac:dyDescent="0.2">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893</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x14ac:dyDescent="0.2">
      <c r="AU141" s="79" t="s">
        <v>896</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x14ac:dyDescent="0.2">
      <c r="AU142" s="79" t="s">
        <v>899</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x14ac:dyDescent="0.2">
      <c r="AU143" s="79" t="s">
        <v>902</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x14ac:dyDescent="0.2">
      <c r="AU144" s="79" t="s">
        <v>905</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x14ac:dyDescent="0.4">
      <c r="A145" s="262" t="s">
        <v>158</v>
      </c>
      <c r="AU145" s="79" t="s">
        <v>908</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x14ac:dyDescent="0.2">
      <c r="AU146" s="79" t="s">
        <v>911</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x14ac:dyDescent="0.2">
      <c r="AU147" s="100" t="s">
        <v>920</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2.5" x14ac:dyDescent="0.3">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923</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x14ac:dyDescent="0.2">
      <c r="A149" s="78" t="s">
        <v>993</v>
      </c>
      <c r="B149" s="78" t="s">
        <v>220</v>
      </c>
      <c r="C149" s="78" t="s">
        <v>994</v>
      </c>
      <c r="D149" s="78" t="s">
        <v>937</v>
      </c>
      <c r="E149" s="78" t="s">
        <v>995</v>
      </c>
      <c r="F149" s="78" t="s">
        <v>939</v>
      </c>
      <c r="G149" s="78" t="s">
        <v>996</v>
      </c>
      <c r="H149" s="78" t="s">
        <v>997</v>
      </c>
      <c r="I149" s="78" t="s">
        <v>998</v>
      </c>
      <c r="J149" s="78" t="s">
        <v>943</v>
      </c>
      <c r="K149" s="78" t="s">
        <v>999</v>
      </c>
      <c r="L149" s="78" t="s">
        <v>945</v>
      </c>
      <c r="M149" s="78" t="s">
        <v>1000</v>
      </c>
      <c r="N149" s="78" t="s">
        <v>947</v>
      </c>
      <c r="O149" s="78" t="s">
        <v>1001</v>
      </c>
      <c r="P149" s="78" t="s">
        <v>949</v>
      </c>
      <c r="Q149" s="78" t="s">
        <v>1002</v>
      </c>
      <c r="R149" s="78" t="s">
        <v>951</v>
      </c>
      <c r="S149" s="78" t="s">
        <v>1003</v>
      </c>
      <c r="T149" s="78" t="s">
        <v>953</v>
      </c>
      <c r="U149" s="78" t="s">
        <v>1004</v>
      </c>
      <c r="V149" s="78" t="s">
        <v>955</v>
      </c>
      <c r="W149" s="78" t="s">
        <v>1005</v>
      </c>
      <c r="X149" s="78" t="s">
        <v>957</v>
      </c>
      <c r="Y149" s="78" t="s">
        <v>1006</v>
      </c>
      <c r="Z149" s="78" t="s">
        <v>1007</v>
      </c>
      <c r="AA149" s="78" t="s">
        <v>1008</v>
      </c>
      <c r="AB149" s="78" t="s">
        <v>961</v>
      </c>
      <c r="AC149" s="78" t="s">
        <v>1009</v>
      </c>
      <c r="AD149" s="78" t="s">
        <v>963</v>
      </c>
      <c r="AE149" s="78" t="s">
        <v>1010</v>
      </c>
      <c r="AF149" s="78" t="s">
        <v>965</v>
      </c>
      <c r="AU149" s="263" t="s">
        <v>605</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x14ac:dyDescent="0.2">
      <c r="A150" s="79" t="str">
        <f>'G-6 Hedgerow Data'!B3</f>
        <v>Species-rich native hedgerow with trees - associated with bank or ditch</v>
      </c>
      <c r="B150" s="68" t="s">
        <v>1011</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358">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 ca="1">SUMIF('B-3 On-Site Hedge Enhancement'!$M$12:$M$257,'G-2 Habitat groups'!A150,'B-3 On-Site Hedge Enhancement'!$P$12:$P$257)</f>
        <v>0</v>
      </c>
      <c r="N150" s="358">
        <f ca="1">SUMIF('B-3 On-Site Hedge Enhancement'!$M$12:$M$257,'G-2 Habitat groups'!A150,'B-3 On-Site Hedge Enhancement'!$AH$12:$AH$257)</f>
        <v>0</v>
      </c>
      <c r="O150" s="358">
        <f t="shared" ref="O150:O162" ca="1" si="107">G150+K150+M150</f>
        <v>0</v>
      </c>
      <c r="P150" s="358">
        <f t="shared" ref="P150:P162" ca="1" si="108">H150+L150+N150</f>
        <v>0</v>
      </c>
      <c r="Q150" s="358">
        <f t="shared" ref="Q150:Q162" ca="1" si="109">O150-E150</f>
        <v>0</v>
      </c>
      <c r="R150" s="358">
        <f t="shared" ref="R150:R162" ca="1"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ca="1" si="113">Q150+AC150</f>
        <v>0</v>
      </c>
      <c r="AF150" s="358">
        <f t="shared" ref="AF150:AF162" ca="1" si="114">R150+AD150</f>
        <v>0</v>
      </c>
      <c r="AU150" s="263" t="s">
        <v>692</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x14ac:dyDescent="0.2">
      <c r="A151" s="79" t="str">
        <f>'G-6 Hedgerow Data'!B4</f>
        <v>Species-rich native hedgerow with trees</v>
      </c>
      <c r="B151" s="68" t="s">
        <v>1011</v>
      </c>
      <c r="C151" s="68" t="str">
        <f>'G-6 Hedgerow Data'!C4</f>
        <v>High</v>
      </c>
      <c r="D151" s="68" t="str">
        <f>'G-6 Hedgerow Data'!AH4</f>
        <v>Like for like or better</v>
      </c>
      <c r="E151" s="358">
        <f>SUMIF('B-1 On-Site Hedge Baseline'!$D$10:$D$257,'G-2 Habitat groups'!A151,'B-1 On-Site Hedge Baseline'!$E$10:$E$257)</f>
        <v>7.5730000000000013</v>
      </c>
      <c r="F151" s="358">
        <f>SUMIF('B-1 On-Site Hedge Baseline'!$D$10:$D$257,'G-2 Habitat groups'!A151,'B-1 On-Site Hedge Baseline'!$N$10:$N$257)</f>
        <v>126.5946</v>
      </c>
      <c r="G151" s="358">
        <f>SUMIF('B-1 On-Site Hedge Baseline'!$D$10:$D$257,'G-2 Habitat groups'!A151,'B-1 On-Site Hedge Baseline'!$P$10:$P$257)</f>
        <v>6.1464000000000008</v>
      </c>
      <c r="H151" s="358">
        <f>SUMIF('B-1 On-Site Hedge Baseline'!$D$10:$D$257,'G-2 Habitat groups'!A151,'B-1 On-Site Hedge Baseline'!$R$10:$R$257)</f>
        <v>104.84153999999998</v>
      </c>
      <c r="I151" s="358">
        <f>SUMIF('B-1 On-Site Hedge Baseline'!$D$10:$D$257,'G-2 Habitat groups'!A151,'B-1 On-Site Hedge Baseline'!$T$10:$T$257)</f>
        <v>6.6099999999999992E-2</v>
      </c>
      <c r="J151" s="358">
        <f>SUMIF('A-1 On-Site Habitat Baseline'!$G$11:$G$258,'G-2 Habitat groups'!A151,'A-1 On-Site Habitat Baseline'!$X$11:$X$258)</f>
        <v>0</v>
      </c>
      <c r="K151" s="358">
        <f>SUMIF('B-2 On-Site Hedge Creation'!$D$12:$D$259,'G-2 Habitat groups'!A151,'B-2 On-Site Hedge Creation'!$E$12:$E$259)</f>
        <v>0</v>
      </c>
      <c r="L151" s="358">
        <f>SUMIF('B-2 On-Site Hedge Creation'!$D$12:$D$259,'G-2 Habitat groups'!A151,'B-2 On-Site Hedge Creation'!$W$12:$W$259)</f>
        <v>0</v>
      </c>
      <c r="M151" s="358">
        <f ca="1">SUMIF('B-3 On-Site Hedge Enhancement'!$M$12:$M$257,'G-2 Habitat groups'!A151,'B-3 On-Site Hedge Enhancement'!$P$12:$P$257)</f>
        <v>9.6694000000000013</v>
      </c>
      <c r="N151" s="358">
        <f ca="1">SUMIF('B-3 On-Site Hedge Enhancement'!$M$12:$M$257,'G-2 Habitat groups'!A151,'B-3 On-Site Hedge Enhancement'!$AH$12:$AH$257)</f>
        <v>141.93489057819642</v>
      </c>
      <c r="O151" s="358">
        <f t="shared" ca="1" si="107"/>
        <v>15.815800000000003</v>
      </c>
      <c r="P151" s="358">
        <f t="shared" ca="1" si="108"/>
        <v>246.7764305781964</v>
      </c>
      <c r="Q151" s="358">
        <f t="shared" ca="1" si="109"/>
        <v>8.2428000000000026</v>
      </c>
      <c r="R151" s="358">
        <f t="shared" ca="1" si="110"/>
        <v>120.1818305781964</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ca="1" si="113"/>
        <v>8.2428000000000026</v>
      </c>
      <c r="AF151" s="358">
        <f t="shared" ca="1" si="114"/>
        <v>120.1818305781964</v>
      </c>
      <c r="AU151" s="79" t="s">
        <v>667</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x14ac:dyDescent="0.2">
      <c r="A152" s="79" t="str">
        <f>'G-6 Hedgerow Data'!B5</f>
        <v>Species-rich native hedgerow - associated with bank or ditch</v>
      </c>
      <c r="B152" s="68" t="s">
        <v>1011</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358">
        <f>SUMIF('A-1 On-Site Habitat Baseline'!$G$11:$G$258,'G-2 Habitat groups'!A152,'A-1 On-Site Habitat Baseline'!$X$11:$X$258)</f>
        <v>0</v>
      </c>
      <c r="K152" s="358">
        <f>SUMIF('B-2 On-Site Hedge Creation'!$D$12:$D$259,'G-2 Habitat groups'!A152,'B-2 On-Site Hedge Creation'!$E$12:$E$259)</f>
        <v>0</v>
      </c>
      <c r="L152" s="358">
        <f>SUMIF('B-2 On-Site Hedge Creation'!$D$12:$D$259,'G-2 Habitat groups'!A152,'B-2 On-Site Hedge Creation'!$W$12:$W$259)</f>
        <v>0</v>
      </c>
      <c r="M152" s="358">
        <f ca="1">SUMIF('B-3 On-Site Hedge Enhancement'!$M$12:$M$257,'G-2 Habitat groups'!A152,'B-3 On-Site Hedge Enhancement'!$P$12:$P$257)</f>
        <v>0</v>
      </c>
      <c r="N152" s="358">
        <f ca="1">SUMIF('B-3 On-Site Hedge Enhancement'!$M$12:$M$257,'G-2 Habitat groups'!A152,'B-3 On-Site Hedge Enhancement'!$AH$12:$AH$257)</f>
        <v>0</v>
      </c>
      <c r="O152" s="358">
        <f t="shared" ca="1" si="107"/>
        <v>0</v>
      </c>
      <c r="P152" s="358">
        <f t="shared" ca="1" si="108"/>
        <v>0</v>
      </c>
      <c r="Q152" s="358">
        <f t="shared" ca="1" si="109"/>
        <v>0</v>
      </c>
      <c r="R152" s="358">
        <f t="shared" ca="1"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ca="1" si="113"/>
        <v>0</v>
      </c>
      <c r="AF152" s="358">
        <f t="shared" ca="1" si="114"/>
        <v>0</v>
      </c>
    </row>
    <row r="153" spans="1:59" x14ac:dyDescent="0.2">
      <c r="A153" s="79" t="str">
        <f>'G-6 Hedgerow Data'!B6</f>
        <v>Native hedgerow with trees - associated with bank or ditch</v>
      </c>
      <c r="B153" s="68" t="s">
        <v>1011</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358">
        <f>SUMIF('A-1 On-Site Habitat Baseline'!$G$11:$G$258,'G-2 Habitat groups'!A153,'A-1 On-Site Habitat Baseline'!$X$11:$X$258)</f>
        <v>0</v>
      </c>
      <c r="K153" s="358">
        <f>SUMIF('B-2 On-Site Hedge Creation'!$D$12:$D$259,'G-2 Habitat groups'!A153,'B-2 On-Site Hedge Creation'!$E$12:$E$259)</f>
        <v>0</v>
      </c>
      <c r="L153" s="358">
        <f>SUMIF('B-2 On-Site Hedge Creation'!$D$12:$D$259,'G-2 Habitat groups'!A153,'B-2 On-Site Hedge Creation'!$W$12:$W$259)</f>
        <v>0</v>
      </c>
      <c r="M153" s="358">
        <f ca="1">SUMIF('B-3 On-Site Hedge Enhancement'!$M$12:$M$257,'G-2 Habitat groups'!A153,'B-3 On-Site Hedge Enhancement'!$P$12:$P$257)</f>
        <v>0</v>
      </c>
      <c r="N153" s="358">
        <f ca="1">SUMIF('B-3 On-Site Hedge Enhancement'!$M$12:$M$257,'G-2 Habitat groups'!A153,'B-3 On-Site Hedge Enhancement'!$AH$12:$AH$257)</f>
        <v>0</v>
      </c>
      <c r="O153" s="358">
        <f t="shared" ca="1" si="107"/>
        <v>0</v>
      </c>
      <c r="P153" s="358">
        <f t="shared" ca="1" si="108"/>
        <v>0</v>
      </c>
      <c r="Q153" s="358">
        <f t="shared" ca="1" si="109"/>
        <v>0</v>
      </c>
      <c r="R153" s="358">
        <f t="shared" ca="1"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ca="1" si="113"/>
        <v>0</v>
      </c>
      <c r="AF153" s="358">
        <f t="shared" ca="1" si="114"/>
        <v>0</v>
      </c>
    </row>
    <row r="154" spans="1:59" ht="34.5" x14ac:dyDescent="0.45">
      <c r="A154" s="263" t="str">
        <f>'G-6 Hedgerow Data'!B7</f>
        <v>Species-rich native hedgerow</v>
      </c>
      <c r="B154" s="264" t="s">
        <v>1011</v>
      </c>
      <c r="C154" s="264" t="str">
        <f>'G-6 Hedgerow Data'!C7</f>
        <v>Medium</v>
      </c>
      <c r="D154" s="264" t="str">
        <f>'G-6 Hedgerow Data'!AH7</f>
        <v>Same distinctiveness band or better</v>
      </c>
      <c r="E154" s="439">
        <f>SUMIF('B-1 On-Site Hedge Baseline'!$D$10:$D$257,'G-2 Habitat groups'!A154,'B-1 On-Site Hedge Baseline'!$E$10:$E$257)</f>
        <v>21.854100000000006</v>
      </c>
      <c r="F154" s="439">
        <f>SUMIF('B-1 On-Site Hedge Baseline'!$D$10:$D$257,'G-2 Habitat groups'!A154,'B-1 On-Site Hedge Baseline'!$N$10:$N$257)</f>
        <v>229.59757999999999</v>
      </c>
      <c r="G154" s="439">
        <f>SUMIF('B-1 On-Site Hedge Baseline'!$D$10:$D$257,'G-2 Habitat groups'!A154,'B-1 On-Site Hedge Baseline'!$P$10:$P$257)</f>
        <v>13.549400000000004</v>
      </c>
      <c r="H154" s="439">
        <f>SUMIF('B-1 On-Site Hedge Baseline'!$D$10:$D$257,'G-2 Habitat groups'!A154,'B-1 On-Site Hedge Baseline'!$R$10:$R$257)</f>
        <v>136.17566000000002</v>
      </c>
      <c r="I154" s="439">
        <f>SUMIF('B-1 On-Site Hedge Baseline'!$D$10:$D$257,'G-2 Habitat groups'!A154,'B-1 On-Site Hedge Baseline'!$T$10:$T$257)</f>
        <v>0.21320000000000022</v>
      </c>
      <c r="J154" s="439">
        <f>SUMIF('A-1 On-Site Habitat Baseline'!$G$11:$G$258,'G-2 Habitat groups'!A154,'A-1 On-Site Habitat Baseline'!$X$11:$X$258)</f>
        <v>0</v>
      </c>
      <c r="K154" s="439">
        <f>SUMIF('B-2 On-Site Hedge Creation'!$D$12:$D$259,'G-2 Habitat groups'!A154,'B-2 On-Site Hedge Creation'!$E$12:$E$259)</f>
        <v>30.537781653939909</v>
      </c>
      <c r="L154" s="439">
        <f>SUMIF('B-2 On-Site Hedge Creation'!$D$12:$D$259,'G-2 Habitat groups'!A154,'B-2 On-Site Hedge Creation'!$W$12:$W$259)</f>
        <v>239.86759776163626</v>
      </c>
      <c r="M154" s="439">
        <f ca="1">SUMIF('B-3 On-Site Hedge Enhancement'!$M$12:$M$257,'G-2 Habitat groups'!A154,'B-3 On-Site Hedge Enhancement'!$P$12:$P$257)</f>
        <v>11.226199999999995</v>
      </c>
      <c r="N154" s="439">
        <f ca="1">SUMIF('B-3 On-Site Hedge Enhancement'!$M$12:$M$257,'G-2 Habitat groups'!A154,'B-3 On-Site Hedge Enhancement'!$AH$12:$AH$257)</f>
        <v>123.8934914048764</v>
      </c>
      <c r="O154" s="439">
        <f t="shared" ca="1" si="107"/>
        <v>55.313381653939913</v>
      </c>
      <c r="P154" s="439">
        <f t="shared" ca="1" si="108"/>
        <v>499.93674916651264</v>
      </c>
      <c r="Q154" s="439">
        <f t="shared" ca="1" si="109"/>
        <v>33.459281653939911</v>
      </c>
      <c r="R154" s="439">
        <f t="shared" ca="1" si="110"/>
        <v>270.33916916651265</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ca="1" si="113"/>
        <v>33.459281653939911</v>
      </c>
      <c r="AF154" s="439">
        <f t="shared" ca="1" si="114"/>
        <v>270.33916916651265</v>
      </c>
      <c r="AU154" s="283" t="s">
        <v>1012</v>
      </c>
      <c r="AV154" s="76"/>
      <c r="AW154" s="76"/>
      <c r="AX154" s="76"/>
      <c r="AY154" s="76"/>
      <c r="AZ154" s="76"/>
      <c r="BA154" s="76"/>
      <c r="BB154" s="76"/>
      <c r="BC154" s="76"/>
      <c r="BD154" s="76"/>
      <c r="BE154" s="76"/>
      <c r="BF154" s="76"/>
      <c r="BG154" s="92"/>
    </row>
    <row r="155" spans="1:59" ht="31.5" x14ac:dyDescent="0.25">
      <c r="A155" s="263" t="str">
        <f>'G-6 Hedgerow Data'!B8</f>
        <v>Native hedgerow - associated with bank or ditch</v>
      </c>
      <c r="B155" s="264" t="s">
        <v>1011</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SUMIF('A-1 On-Site Habitat Baseline'!$G$11:$G$258,'G-2 Habitat groups'!A155,'A-1 On-Site Habitat Baseline'!$X$11:$X$258)</f>
        <v>0</v>
      </c>
      <c r="K155" s="439">
        <f>SUMIF('B-2 On-Site Hedge Creation'!$D$12:$D$259,'G-2 Habitat groups'!A155,'B-2 On-Site Hedge Creation'!$E$12:$E$259)</f>
        <v>0</v>
      </c>
      <c r="L155" s="439">
        <f>SUMIF('B-2 On-Site Hedge Creation'!$D$12:$D$259,'G-2 Habitat groups'!A155,'B-2 On-Site Hedge Creation'!$W$12:$W$259)</f>
        <v>0</v>
      </c>
      <c r="M155" s="439">
        <f ca="1">SUMIF('B-3 On-Site Hedge Enhancement'!$M$12:$M$257,'G-2 Habitat groups'!A155,'B-3 On-Site Hedge Enhancement'!$P$12:$P$257)</f>
        <v>0</v>
      </c>
      <c r="N155" s="439">
        <f ca="1">SUMIF('B-3 On-Site Hedge Enhancement'!$M$12:$M$257,'G-2 Habitat groups'!A155,'B-3 On-Site Hedge Enhancement'!$AH$12:$AH$257)</f>
        <v>0</v>
      </c>
      <c r="O155" s="439">
        <f t="shared" ca="1" si="107"/>
        <v>0</v>
      </c>
      <c r="P155" s="439">
        <f t="shared" ca="1" si="108"/>
        <v>0</v>
      </c>
      <c r="Q155" s="439">
        <f t="shared" ca="1" si="109"/>
        <v>0</v>
      </c>
      <c r="R155" s="439">
        <f t="shared" ca="1"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ca="1" si="113"/>
        <v>0</v>
      </c>
      <c r="AF155" s="439">
        <f t="shared" ca="1" si="114"/>
        <v>0</v>
      </c>
      <c r="AU155" s="229" t="s">
        <v>971</v>
      </c>
      <c r="AV155" s="229" t="s">
        <v>220</v>
      </c>
      <c r="AW155" s="540" t="s">
        <v>972</v>
      </c>
      <c r="AX155" s="540" t="s">
        <v>973</v>
      </c>
      <c r="AY155" s="540" t="s">
        <v>974</v>
      </c>
      <c r="AZ155" s="540" t="s">
        <v>975</v>
      </c>
      <c r="BA155" s="540" t="s">
        <v>976</v>
      </c>
      <c r="BB155" s="540" t="s">
        <v>977</v>
      </c>
      <c r="BC155" s="540" t="s">
        <v>978</v>
      </c>
      <c r="BD155" s="98" t="s">
        <v>979</v>
      </c>
      <c r="BE155" s="540" t="s">
        <v>980</v>
      </c>
      <c r="BF155" s="98" t="s">
        <v>991</v>
      </c>
    </row>
    <row r="156" spans="1:59" x14ac:dyDescent="0.2">
      <c r="A156" s="79" t="str">
        <f>'G-6 Hedgerow Data'!B9</f>
        <v>Native hedgerow with trees</v>
      </c>
      <c r="B156" s="68" t="s">
        <v>1011</v>
      </c>
      <c r="C156" s="68" t="str">
        <f>'G-6 Hedgerow Data'!C9</f>
        <v>Medium</v>
      </c>
      <c r="D156" s="68" t="str">
        <f>'G-6 Hedgerow Data'!AH9</f>
        <v>Same distinctiveness band or better</v>
      </c>
      <c r="E156" s="358">
        <f>SUMIF('B-1 On-Site Hedge Baseline'!$D$10:$D$257,'G-2 Habitat groups'!A156,'B-1 On-Site Hedge Baseline'!$E$10:$E$257)</f>
        <v>6.6764000000000001</v>
      </c>
      <c r="F156" s="358">
        <f>SUMIF('B-1 On-Site Hedge Baseline'!$D$10:$D$257,'G-2 Habitat groups'!A156,'B-1 On-Site Hedge Baseline'!$N$10:$N$257)</f>
        <v>51.797140000000006</v>
      </c>
      <c r="G156" s="358">
        <f>SUMIF('B-1 On-Site Hedge Baseline'!$D$10:$D$257,'G-2 Habitat groups'!A156,'B-1 On-Site Hedge Baseline'!$P$10:$P$257)</f>
        <v>4.8202000000000007</v>
      </c>
      <c r="H156" s="358">
        <f>SUMIF('B-1 On-Site Hedge Baseline'!$D$10:$D$257,'G-2 Habitat groups'!A156,'B-1 On-Site Hedge Baseline'!$R$10:$R$257)</f>
        <v>38.151060000000001</v>
      </c>
      <c r="I156" s="358">
        <f>SUMIF('B-1 On-Site Hedge Baseline'!$D$10:$D$257,'G-2 Habitat groups'!A156,'B-1 On-Site Hedge Baseline'!$T$10:$T$257)</f>
        <v>1.1000000000000065E-2</v>
      </c>
      <c r="J156" s="358">
        <f>SUMIF('A-1 On-Site Habitat Baseline'!$G$11:$G$258,'G-2 Habitat groups'!A156,'A-1 On-Site Habitat Baseline'!$X$11:$X$258)</f>
        <v>0</v>
      </c>
      <c r="K156" s="358">
        <f>SUMIF('B-2 On-Site Hedge Creation'!$D$12:$D$259,'G-2 Habitat groups'!A156,'B-2 On-Site Hedge Creation'!$E$12:$E$259)</f>
        <v>0</v>
      </c>
      <c r="L156" s="358">
        <f>SUMIF('B-2 On-Site Hedge Creation'!$D$12:$D$259,'G-2 Habitat groups'!A156,'B-2 On-Site Hedge Creation'!$W$12:$W$259)</f>
        <v>0</v>
      </c>
      <c r="M156" s="358">
        <f ca="1">SUMIF('B-3 On-Site Hedge Enhancement'!$M$12:$M$257,'G-2 Habitat groups'!A156,'B-3 On-Site Hedge Enhancement'!$P$12:$P$257)</f>
        <v>0.22689999999999999</v>
      </c>
      <c r="N156" s="358">
        <f ca="1">SUMIF('B-3 On-Site Hedge Enhancement'!$M$12:$M$257,'G-2 Habitat groups'!A156,'B-3 On-Site Hedge Enhancement'!$AH$12:$AH$257)</f>
        <v>2.6022525685445599</v>
      </c>
      <c r="O156" s="358">
        <f t="shared" ca="1" si="107"/>
        <v>5.0471000000000004</v>
      </c>
      <c r="P156" s="358">
        <f t="shared" ca="1" si="108"/>
        <v>40.753312568544558</v>
      </c>
      <c r="Q156" s="358">
        <f t="shared" ca="1" si="109"/>
        <v>-1.6292999999999997</v>
      </c>
      <c r="R156" s="358">
        <f t="shared" ca="1" si="110"/>
        <v>-11.043827431455448</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ca="1" si="113"/>
        <v>-1.6292999999999997</v>
      </c>
      <c r="AF156" s="358">
        <f t="shared" ca="1" si="114"/>
        <v>-11.043827431455448</v>
      </c>
      <c r="AU156" s="79" t="s">
        <v>687</v>
      </c>
      <c r="AV156" s="68" t="s">
        <v>129</v>
      </c>
      <c r="AW156" s="358">
        <f>VLOOKUP($AU156,AllHabsSummaryData,5,FALSE)</f>
        <v>0</v>
      </c>
      <c r="AX156" s="358">
        <f>VLOOKUP($AU156,AllHabsSummaryData,10,FALSE)</f>
        <v>0</v>
      </c>
      <c r="AY156" s="358">
        <f>VLOOKUP($AU156,AllHabsSummaryData,15,FALSE)</f>
        <v>27.072712227318942</v>
      </c>
      <c r="AZ156" s="358">
        <f>VLOOKUP($AU156,AllHabsSummaryData,16,FALSE)</f>
        <v>0</v>
      </c>
      <c r="BA156" s="358">
        <f>VLOOKUP($AU156,AllHabsSummaryData,17,FALSE)</f>
        <v>27.072712227318942</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x14ac:dyDescent="0.2">
      <c r="A157" s="79" t="str">
        <f>'G-6 Hedgerow Data'!B10</f>
        <v>Ecologically valuable line of trees</v>
      </c>
      <c r="B157" s="68" t="s">
        <v>1011</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358">
        <f>SUMIF('A-1 On-Site Habitat Baseline'!$G$11:$G$258,'G-2 Habitat groups'!A157,'A-1 On-Site Habitat Baseline'!$X$11:$X$258)</f>
        <v>0</v>
      </c>
      <c r="K157" s="358">
        <f>SUMIF('B-2 On-Site Hedge Creation'!$D$12:$D$259,'G-2 Habitat groups'!A157,'B-2 On-Site Hedge Creation'!$E$12:$E$259)</f>
        <v>0</v>
      </c>
      <c r="L157" s="358">
        <f>SUMIF('B-2 On-Site Hedge Creation'!$D$12:$D$259,'G-2 Habitat groups'!A157,'B-2 On-Site Hedge Creation'!$W$12:$W$259)</f>
        <v>0</v>
      </c>
      <c r="M157" s="358">
        <f ca="1">SUMIF('B-3 On-Site Hedge Enhancement'!$M$12:$M$257,'G-2 Habitat groups'!A157,'B-3 On-Site Hedge Enhancement'!$P$12:$P$257)</f>
        <v>0</v>
      </c>
      <c r="N157" s="358">
        <f ca="1">SUMIF('B-3 On-Site Hedge Enhancement'!$M$12:$M$257,'G-2 Habitat groups'!A157,'B-3 On-Site Hedge Enhancement'!$AH$12:$AH$257)</f>
        <v>0</v>
      </c>
      <c r="O157" s="358">
        <f t="shared" ca="1" si="107"/>
        <v>0</v>
      </c>
      <c r="P157" s="358">
        <f t="shared" ca="1" si="108"/>
        <v>0</v>
      </c>
      <c r="Q157" s="358">
        <f t="shared" ca="1" si="109"/>
        <v>0</v>
      </c>
      <c r="R157" s="358">
        <f t="shared" ca="1"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ca="1" si="113"/>
        <v>0</v>
      </c>
      <c r="AF157" s="358">
        <f t="shared" ca="1" si="114"/>
        <v>0</v>
      </c>
      <c r="AU157" s="79" t="s">
        <v>695</v>
      </c>
      <c r="AV157" s="68" t="s">
        <v>129</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x14ac:dyDescent="0.2">
      <c r="A158" s="79" t="str">
        <f>'G-6 Hedgerow Data'!B11</f>
        <v>Ecologically valuable line of trees - associated with bank or ditch</v>
      </c>
      <c r="B158" s="68" t="s">
        <v>1011</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358">
        <f>SUMIF('A-1 On-Site Habitat Baseline'!$G$11:$G$258,'G-2 Habitat groups'!A158,'A-1 On-Site Habitat Baseline'!$X$11:$X$258)</f>
        <v>0</v>
      </c>
      <c r="K158" s="358">
        <f>SUMIF('B-2 On-Site Hedge Creation'!$D$12:$D$259,'G-2 Habitat groups'!A158,'B-2 On-Site Hedge Creation'!$E$12:$E$259)</f>
        <v>0</v>
      </c>
      <c r="L158" s="358">
        <f>SUMIF('B-2 On-Site Hedge Creation'!$D$12:$D$259,'G-2 Habitat groups'!A158,'B-2 On-Site Hedge Creation'!$W$12:$W$259)</f>
        <v>0</v>
      </c>
      <c r="M158" s="358">
        <f ca="1">SUMIF('B-3 On-Site Hedge Enhancement'!$M$12:$M$257,'G-2 Habitat groups'!A158,'B-3 On-Site Hedge Enhancement'!$P$12:$P$257)</f>
        <v>0</v>
      </c>
      <c r="N158" s="358">
        <f ca="1">SUMIF('B-3 On-Site Hedge Enhancement'!$M$12:$M$257,'G-2 Habitat groups'!A158,'B-3 On-Site Hedge Enhancement'!$AH$12:$AH$257)</f>
        <v>0</v>
      </c>
      <c r="O158" s="358">
        <f t="shared" ca="1" si="107"/>
        <v>0</v>
      </c>
      <c r="P158" s="358">
        <f t="shared" ca="1" si="108"/>
        <v>0</v>
      </c>
      <c r="Q158" s="358">
        <f t="shared" ca="1" si="109"/>
        <v>0</v>
      </c>
      <c r="R158" s="358">
        <f t="shared" ca="1"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ca="1" si="113"/>
        <v>0</v>
      </c>
      <c r="AF158" s="358">
        <f t="shared" ca="1" si="114"/>
        <v>0</v>
      </c>
      <c r="AU158" s="79" t="s">
        <v>700</v>
      </c>
      <c r="AV158" s="68" t="s">
        <v>129</v>
      </c>
      <c r="AW158" s="358">
        <f>VLOOKUP($AU158,AllHabsSummaryData,5,FALSE)</f>
        <v>2.9388800162003568</v>
      </c>
      <c r="AX158" s="358">
        <f>VLOOKUP($AU158,AllHabsSummaryData,10,FALSE)</f>
        <v>0</v>
      </c>
      <c r="AY158" s="358">
        <f>VLOOKUP($AU158,AllHabsSummaryData,15,FALSE)</f>
        <v>5.5477185449627999</v>
      </c>
      <c r="AZ158" s="358">
        <f>VLOOKUP($AU158,AllHabsSummaryData,16,FALSE)</f>
        <v>0</v>
      </c>
      <c r="BA158" s="358">
        <f>VLOOKUP($AU158,AllHabsSummaryData,17,FALSE)</f>
        <v>2.6088385287624432</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x14ac:dyDescent="0.2">
      <c r="A159" s="79" t="str">
        <f>'G-6 Hedgerow Data'!B12</f>
        <v>Native hedgerow</v>
      </c>
      <c r="B159" s="68" t="s">
        <v>1011</v>
      </c>
      <c r="C159" s="68" t="str">
        <f>'G-6 Hedgerow Data'!C12</f>
        <v>Low</v>
      </c>
      <c r="D159" s="68" t="str">
        <f>'G-6 Hedgerow Data'!AH12</f>
        <v>Same distinctiveness band or better</v>
      </c>
      <c r="E159" s="358">
        <f>SUMIF('B-1 On-Site Hedge Baseline'!$D$10:$D$257,'G-2 Habitat groups'!A159,'B-1 On-Site Hedge Baseline'!$E$10:$E$257)</f>
        <v>31.781100000000016</v>
      </c>
      <c r="F159" s="358">
        <f>SUMIF('B-1 On-Site Hedge Baseline'!$D$10:$D$257,'G-2 Habitat groups'!A159,'B-1 On-Site Hedge Baseline'!$N$10:$N$257)</f>
        <v>153.30670999999998</v>
      </c>
      <c r="G159" s="358">
        <f>SUMIF('B-1 On-Site Hedge Baseline'!$D$10:$D$257,'G-2 Habitat groups'!A159,'B-1 On-Site Hedge Baseline'!$P$10:$P$257)</f>
        <v>21.62240000000001</v>
      </c>
      <c r="H159" s="358">
        <f>SUMIF('B-1 On-Site Hedge Baseline'!$D$10:$D$257,'G-2 Habitat groups'!A159,'B-1 On-Site Hedge Baseline'!$R$10:$R$257)</f>
        <v>106.02264000000008</v>
      </c>
      <c r="I159" s="358">
        <f>SUMIF('B-1 On-Site Hedge Baseline'!$D$10:$D$257,'G-2 Habitat groups'!A159,'B-1 On-Site Hedge Baseline'!$T$10:$T$257)</f>
        <v>0.33339999999999981</v>
      </c>
      <c r="J159" s="358">
        <f>SUMIF('A-1 On-Site Habitat Baseline'!$G$11:$G$258,'G-2 Habitat groups'!A159,'A-1 On-Site Habitat Baseline'!$X$11:$X$258)</f>
        <v>0</v>
      </c>
      <c r="K159" s="358">
        <f>SUMIF('B-2 On-Site Hedge Creation'!$D$12:$D$259,'G-2 Habitat groups'!A159,'B-2 On-Site Hedge Creation'!$E$12:$E$259)</f>
        <v>0</v>
      </c>
      <c r="L159" s="358">
        <f>SUMIF('B-2 On-Site Hedge Creation'!$D$12:$D$259,'G-2 Habitat groups'!A159,'B-2 On-Site Hedge Creation'!$W$12:$W$259)</f>
        <v>0</v>
      </c>
      <c r="M159" s="358">
        <f ca="1">SUMIF('B-3 On-Site Hedge Enhancement'!$M$12:$M$257,'G-2 Habitat groups'!A159,'B-3 On-Site Hedge Enhancement'!$P$12:$P$257)</f>
        <v>0</v>
      </c>
      <c r="N159" s="358">
        <f ca="1">SUMIF('B-3 On-Site Hedge Enhancement'!$M$12:$M$257,'G-2 Habitat groups'!A159,'B-3 On-Site Hedge Enhancement'!$AH$12:$AH$257)</f>
        <v>0</v>
      </c>
      <c r="O159" s="358">
        <f t="shared" ca="1" si="107"/>
        <v>21.62240000000001</v>
      </c>
      <c r="P159" s="358">
        <f t="shared" ca="1" si="108"/>
        <v>106.02264000000008</v>
      </c>
      <c r="Q159" s="358">
        <f t="shared" ca="1" si="109"/>
        <v>-10.158700000000007</v>
      </c>
      <c r="R159" s="358">
        <f t="shared" ca="1" si="110"/>
        <v>-47.2840699999999</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ca="1" si="113"/>
        <v>-10.158700000000007</v>
      </c>
      <c r="AF159" s="358">
        <f t="shared" ca="1" si="114"/>
        <v>-47.2840699999999</v>
      </c>
      <c r="AU159" s="79" t="s">
        <v>732</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x14ac:dyDescent="0.2">
      <c r="A160" s="79" t="str">
        <f>'G-6 Hedgerow Data'!B13</f>
        <v>Line of trees</v>
      </c>
      <c r="B160" s="68" t="s">
        <v>1011</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358">
        <f>SUMIF('A-1 On-Site Habitat Baseline'!$G$11:$G$258,'G-2 Habitat groups'!A160,'A-1 On-Site Habitat Baseline'!$X$11:$X$258)</f>
        <v>0</v>
      </c>
      <c r="K160" s="358">
        <f>SUMIF('B-2 On-Site Hedge Creation'!$D$12:$D$259,'G-2 Habitat groups'!A160,'B-2 On-Site Hedge Creation'!$E$12:$E$259)</f>
        <v>0</v>
      </c>
      <c r="L160" s="358">
        <f>SUMIF('B-2 On-Site Hedge Creation'!$D$12:$D$259,'G-2 Habitat groups'!A160,'B-2 On-Site Hedge Creation'!$W$12:$W$259)</f>
        <v>0</v>
      </c>
      <c r="M160" s="358">
        <f ca="1">SUMIF('B-3 On-Site Hedge Enhancement'!$M$12:$M$257,'G-2 Habitat groups'!A160,'B-3 On-Site Hedge Enhancement'!$P$12:$P$257)</f>
        <v>0</v>
      </c>
      <c r="N160" s="358">
        <f ca="1">SUMIF('B-3 On-Site Hedge Enhancement'!$M$12:$M$257,'G-2 Habitat groups'!A160,'B-3 On-Site Hedge Enhancement'!$AH$12:$AH$257)</f>
        <v>0</v>
      </c>
      <c r="O160" s="358">
        <f t="shared" ca="1" si="107"/>
        <v>0</v>
      </c>
      <c r="P160" s="358">
        <f t="shared" ca="1" si="108"/>
        <v>0</v>
      </c>
      <c r="Q160" s="358">
        <f t="shared" ca="1" si="109"/>
        <v>0</v>
      </c>
      <c r="R160" s="358">
        <f t="shared" ca="1"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ca="1" si="113"/>
        <v>0</v>
      </c>
      <c r="AF160" s="358">
        <f t="shared" ca="1" si="114"/>
        <v>0</v>
      </c>
    </row>
    <row r="161" spans="1:32" x14ac:dyDescent="0.2">
      <c r="A161" s="79" t="str">
        <f>'G-6 Hedgerow Data'!B14</f>
        <v>Line of trees - associated with bank or ditch</v>
      </c>
      <c r="B161" s="68" t="s">
        <v>1011</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358">
        <f>SUMIF('A-1 On-Site Habitat Baseline'!$G$11:$G$258,'G-2 Habitat groups'!A161,'A-1 On-Site Habitat Baseline'!$X$11:$X$258)</f>
        <v>0</v>
      </c>
      <c r="K161" s="358">
        <f>SUMIF('B-2 On-Site Hedge Creation'!$D$12:$D$259,'G-2 Habitat groups'!A161,'B-2 On-Site Hedge Creation'!$E$12:$E$259)</f>
        <v>0</v>
      </c>
      <c r="L161" s="358">
        <f>SUMIF('B-2 On-Site Hedge Creation'!$D$12:$D$259,'G-2 Habitat groups'!A161,'B-2 On-Site Hedge Creation'!$W$12:$W$259)</f>
        <v>0</v>
      </c>
      <c r="M161" s="358">
        <f ca="1">SUMIF('B-3 On-Site Hedge Enhancement'!$M$12:$M$257,'G-2 Habitat groups'!A161,'B-3 On-Site Hedge Enhancement'!$P$12:$P$257)</f>
        <v>0</v>
      </c>
      <c r="N161" s="358">
        <f ca="1">SUMIF('B-3 On-Site Hedge Enhancement'!$M$12:$M$257,'G-2 Habitat groups'!A161,'B-3 On-Site Hedge Enhancement'!$AH$12:$AH$257)</f>
        <v>0</v>
      </c>
      <c r="O161" s="358">
        <f t="shared" ca="1" si="107"/>
        <v>0</v>
      </c>
      <c r="P161" s="358">
        <f t="shared" ca="1" si="108"/>
        <v>0</v>
      </c>
      <c r="Q161" s="358">
        <f t="shared" ca="1" si="109"/>
        <v>0</v>
      </c>
      <c r="R161" s="358">
        <f t="shared" ca="1"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ca="1" si="113"/>
        <v>0</v>
      </c>
      <c r="AF161" s="358">
        <f t="shared" ca="1" si="114"/>
        <v>0</v>
      </c>
    </row>
    <row r="162" spans="1:32" x14ac:dyDescent="0.2">
      <c r="A162" s="79" t="str">
        <f>'G-6 Hedgerow Data'!B15</f>
        <v>Non-native and ornamental hedgerow</v>
      </c>
      <c r="B162" s="68" t="s">
        <v>1011</v>
      </c>
      <c r="C162" s="68" t="str">
        <f>'G-6 Hedgerow Data'!C15</f>
        <v>V.Low</v>
      </c>
      <c r="D162" s="68" t="str">
        <f>'G-6 Hedgerow Data'!AH15</f>
        <v>Same distinctiveness band or better</v>
      </c>
      <c r="E162" s="358">
        <f>SUMIF('B-1 On-Site Hedge Baseline'!$D$10:$D$257,'G-2 Habitat groups'!A162,'B-1 On-Site Hedge Baseline'!$E$10:$E$257)</f>
        <v>0</v>
      </c>
      <c r="F162" s="358">
        <f>SUMIF('B-1 On-Site Hedge Baseline'!$D$10:$D$257,'G-2 Habitat groups'!A162,'B-1 On-Site Hedge Baseline'!$N$10:$N$257)</f>
        <v>0</v>
      </c>
      <c r="G162" s="358">
        <f>SUMIF('B-1 On-Site Hedge Baseline'!$D$10:$D$257,'G-2 Habitat groups'!A162,'B-1 On-Site Hedge Baseline'!$P$10:$P$257)</f>
        <v>0</v>
      </c>
      <c r="H162" s="358">
        <f>SUMIF('B-1 On-Site Hedge Baseline'!$D$10:$D$257,'G-2 Habitat groups'!A162,'B-1 On-Site Hedge Baseline'!$R$10:$R$257)</f>
        <v>0</v>
      </c>
      <c r="I162" s="358">
        <f>SUMIF('B-1 On-Site Hedge Baseline'!$D$10:$D$257,'G-2 Habitat groups'!A162,'B-1 On-Site Hedge Baseline'!$T$10:$T$257)</f>
        <v>0</v>
      </c>
      <c r="J162" s="358">
        <f>SUMIF('A-1 On-Site Habitat Baseline'!$G$11:$G$258,'G-2 Habitat groups'!A162,'A-1 On-Site Habitat Baseline'!$X$11:$X$258)</f>
        <v>0</v>
      </c>
      <c r="K162" s="358">
        <f>SUMIF('B-2 On-Site Hedge Creation'!$D$12:$D$259,'G-2 Habitat groups'!A162,'B-2 On-Site Hedge Creation'!$E$12:$E$259)</f>
        <v>0</v>
      </c>
      <c r="L162" s="358">
        <f>SUMIF('B-2 On-Site Hedge Creation'!$D$12:$D$259,'G-2 Habitat groups'!A162,'B-2 On-Site Hedge Creation'!$W$12:$W$259)</f>
        <v>0</v>
      </c>
      <c r="M162" s="358">
        <f ca="1">SUMIF('B-3 On-Site Hedge Enhancement'!$M$12:$M$257,'G-2 Habitat groups'!A162,'B-3 On-Site Hedge Enhancement'!$P$12:$P$257)</f>
        <v>0</v>
      </c>
      <c r="N162" s="358">
        <f ca="1">SUMIF('B-3 On-Site Hedge Enhancement'!$M$12:$M$257,'G-2 Habitat groups'!A162,'B-3 On-Site Hedge Enhancement'!$AH$12:$AH$257)</f>
        <v>0</v>
      </c>
      <c r="O162" s="358">
        <f t="shared" ca="1" si="107"/>
        <v>0</v>
      </c>
      <c r="P162" s="358">
        <f t="shared" ca="1" si="108"/>
        <v>0</v>
      </c>
      <c r="Q162" s="358">
        <f t="shared" ca="1" si="109"/>
        <v>0</v>
      </c>
      <c r="R162" s="358">
        <f t="shared" ca="1"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ca="1" si="113"/>
        <v>0</v>
      </c>
      <c r="AF162" s="358">
        <f t="shared" ca="1" si="114"/>
        <v>0</v>
      </c>
    </row>
    <row r="167" spans="1:32" ht="27.75" x14ac:dyDescent="0.4">
      <c r="A167" s="262" t="s">
        <v>59</v>
      </c>
    </row>
    <row r="170" spans="1:32" ht="22.5" x14ac:dyDescent="0.3">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x14ac:dyDescent="0.2">
      <c r="A171" s="78" t="s">
        <v>1013</v>
      </c>
      <c r="B171" s="78" t="s">
        <v>220</v>
      </c>
      <c r="C171" s="78" t="s">
        <v>994</v>
      </c>
      <c r="D171" s="78" t="s">
        <v>937</v>
      </c>
      <c r="E171" s="78" t="s">
        <v>995</v>
      </c>
      <c r="F171" s="78" t="s">
        <v>939</v>
      </c>
      <c r="G171" s="78" t="s">
        <v>996</v>
      </c>
      <c r="H171" s="78" t="s">
        <v>997</v>
      </c>
      <c r="I171" s="78" t="s">
        <v>1014</v>
      </c>
      <c r="J171" s="78" t="s">
        <v>1015</v>
      </c>
      <c r="K171" s="78" t="s">
        <v>999</v>
      </c>
      <c r="L171" s="78" t="s">
        <v>945</v>
      </c>
      <c r="M171" s="78" t="s">
        <v>1000</v>
      </c>
      <c r="N171" s="78" t="s">
        <v>947</v>
      </c>
      <c r="O171" s="78" t="s">
        <v>1001</v>
      </c>
      <c r="P171" s="78" t="s">
        <v>949</v>
      </c>
      <c r="Q171" s="78" t="s">
        <v>1002</v>
      </c>
      <c r="R171" s="78" t="s">
        <v>951</v>
      </c>
      <c r="S171" s="78" t="s">
        <v>1003</v>
      </c>
      <c r="T171" s="78" t="s">
        <v>953</v>
      </c>
      <c r="U171" s="78" t="s">
        <v>1004</v>
      </c>
      <c r="V171" s="78" t="s">
        <v>955</v>
      </c>
      <c r="W171" s="78" t="s">
        <v>1005</v>
      </c>
      <c r="X171" s="78" t="s">
        <v>957</v>
      </c>
      <c r="Y171" s="78" t="s">
        <v>1006</v>
      </c>
      <c r="Z171" s="78" t="s">
        <v>1007</v>
      </c>
      <c r="AA171" s="78" t="s">
        <v>1008</v>
      </c>
      <c r="AB171" s="78" t="s">
        <v>961</v>
      </c>
      <c r="AC171" s="78" t="s">
        <v>1009</v>
      </c>
      <c r="AD171" s="78" t="s">
        <v>963</v>
      </c>
      <c r="AE171" s="78" t="s">
        <v>1010</v>
      </c>
      <c r="AF171" s="78" t="s">
        <v>965</v>
      </c>
    </row>
    <row r="172" spans="1:32" x14ac:dyDescent="0.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x14ac:dyDescent="0.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5.5524086075033221</v>
      </c>
      <c r="F173" s="358">
        <f>SUMIF('C-1 On-Site WaterC'' Baseline'!$D$10:$D$257,'G-2 Habitat groups'!A173,'C-1 On-Site WaterC'' Baseline'!$R$10:$R$257)</f>
        <v>57.248335704889655</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5.5524086075033221</v>
      </c>
      <c r="N173" s="358">
        <f>SUMIF('C-3 On-Site WaterC'' Enhancement'!$N$12:$N$257,'G-2 Habitat groups'!A173,'C-3 On-Site WaterC'' Enhancement'!$AM$12:$AM$257)</f>
        <v>74.441658662955717</v>
      </c>
      <c r="O173" s="358">
        <f t="shared" si="117"/>
        <v>5.5524086075033221</v>
      </c>
      <c r="P173" s="358">
        <f t="shared" si="117"/>
        <v>74.441658662955717</v>
      </c>
      <c r="Q173" s="358">
        <f t="shared" si="118"/>
        <v>0</v>
      </c>
      <c r="R173" s="358">
        <f t="shared" si="118"/>
        <v>17.193322958066062</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17.193322958066062</v>
      </c>
    </row>
    <row r="174" spans="1:32" x14ac:dyDescent="0.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31.179001572687749</v>
      </c>
      <c r="F174" s="358">
        <f>SUMIF('C-1 On-Site WaterC'' Baseline'!$D$10:$D$257,'G-2 Habitat groups'!A174,'C-1 On-Site WaterC'' Baseline'!$R$10:$R$257)</f>
        <v>101.14873307916766</v>
      </c>
      <c r="G174" s="358">
        <f>SUMIF('C-1 On-Site WaterC'' Baseline'!$D$10:$D$257,'G-2 Habitat groups'!A174,'C-1 On-Site WaterC'' Baseline'!$T$10:$T$257)</f>
        <v>0.59532115351422132</v>
      </c>
      <c r="H174" s="358">
        <f>SUMIF('C-1 On-Site WaterC'' Baseline'!$D$10:$D$257,'G-2 Habitat groups'!A174,'C-1 On-Site WaterC'' Baseline'!$V$10:$V$257)</f>
        <v>1.7928025941594341</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30.583680419173525</v>
      </c>
      <c r="N174" s="358">
        <f>SUMIF('C-3 On-Site WaterC'' Enhancement'!$N$12:$N$257,'G-2 Habitat groups'!A174,'C-3 On-Site WaterC'' Enhancement'!$AM$12:$AM$257)</f>
        <v>126.10893689010595</v>
      </c>
      <c r="O174" s="358">
        <f t="shared" si="117"/>
        <v>31.179001572687746</v>
      </c>
      <c r="P174" s="358">
        <f t="shared" si="117"/>
        <v>127.90173948426539</v>
      </c>
      <c r="Q174" s="358">
        <f t="shared" si="118"/>
        <v>0</v>
      </c>
      <c r="R174" s="358">
        <f t="shared" si="118"/>
        <v>26.753006405097736</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26.753006405097736</v>
      </c>
    </row>
    <row r="175" spans="1:32" x14ac:dyDescent="0.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x14ac:dyDescent="0.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Vf/IF4t/Oc3APaW9sfJY6+22uzpzG6HnTKJbuSN16H70IoAKiKa9NerSR/Uix34VR6E9K6LkbTGT/HmFZlRURA==" saltValue="7Z+pHdVFBL/pU3ZPajwYiA=="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4" priority="16" operator="lessThan">
      <formula>0</formula>
    </cfRule>
  </conditionalFormatting>
  <conditionalFormatting sqref="R150:R162">
    <cfRule type="cellIs" dxfId="3" priority="6" operator="lessThan">
      <formula>0</formula>
    </cfRule>
  </conditionalFormatting>
  <conditionalFormatting sqref="R172:R176">
    <cfRule type="cellIs" dxfId="2" priority="3" operator="lessThan">
      <formula>0</formula>
    </cfRule>
  </conditionalFormatting>
  <conditionalFormatting sqref="AD150:AF162">
    <cfRule type="cellIs" dxfId="1" priority="4" operator="lessThan">
      <formula>0</formula>
    </cfRule>
  </conditionalFormatting>
  <conditionalFormatting sqref="AD172:AF176">
    <cfRule type="cellIs" dxfId="0" priority="1"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4.25" zeroHeight="1" x14ac:dyDescent="0.2"/>
  <cols>
    <col min="1" max="1" width="76.42578125" style="30" customWidth="1"/>
    <col min="2" max="2" width="28.85546875" style="30" bestFit="1" customWidth="1"/>
    <col min="3" max="3" width="18.5703125" style="30" bestFit="1" customWidth="1"/>
    <col min="4" max="4" width="30.5703125" style="30" bestFit="1" customWidth="1"/>
    <col min="5" max="5" width="18.5703125" style="30" bestFit="1" customWidth="1"/>
    <col min="6" max="7" width="9.140625" style="30" customWidth="1"/>
    <col min="8" max="8" width="16.28515625" style="30" hidden="1" customWidth="1"/>
    <col min="9" max="9" width="32.85546875" style="30" hidden="1" customWidth="1"/>
    <col min="10" max="10" width="8.140625" style="30" hidden="1" customWidth="1"/>
    <col min="11" max="11" width="9.140625" style="30" customWidth="1"/>
    <col min="12" max="12" width="38.5703125" style="30" customWidth="1"/>
    <col min="13" max="13" width="26.28515625" style="30" customWidth="1"/>
    <col min="14" max="14" width="12" style="30" bestFit="1" customWidth="1"/>
    <col min="15" max="15" width="9.140625" style="30" customWidth="1"/>
    <col min="16" max="16" width="11.7109375" style="30" bestFit="1" customWidth="1"/>
    <col min="17" max="17" width="9.140625" style="30" customWidth="1"/>
    <col min="18" max="18" width="18.85546875" style="30" customWidth="1"/>
    <col min="19" max="19" width="40" style="30" customWidth="1"/>
    <col min="20" max="20" width="19.42578125" style="30" customWidth="1"/>
    <col min="21" max="21" width="9.140625" style="30" customWidth="1"/>
    <col min="22" max="22" width="11.28515625" style="30" customWidth="1"/>
    <col min="23" max="23" width="12" style="30" bestFit="1" customWidth="1"/>
    <col min="24" max="24" width="14.28515625" style="30" bestFit="1" customWidth="1"/>
    <col min="25" max="25" width="17.7109375" style="30" bestFit="1" customWidth="1"/>
    <col min="26" max="26" width="10.140625" style="30" bestFit="1" customWidth="1"/>
    <col min="27" max="28" width="9.140625" style="30" customWidth="1"/>
    <col min="29" max="34" width="0" style="30" hidden="1" customWidth="1"/>
    <col min="35" max="16384" width="9.140625" style="30" hidden="1"/>
  </cols>
  <sheetData>
    <row r="1" spans="1:26" ht="36.6" customHeight="1" thickBot="1" x14ac:dyDescent="0.4">
      <c r="A1" s="1638" t="s">
        <v>1016</v>
      </c>
      <c r="B1" s="1639"/>
      <c r="C1" s="1639"/>
      <c r="D1" s="1639"/>
      <c r="E1" s="1640"/>
      <c r="J1" s="232"/>
      <c r="L1" s="1638" t="s">
        <v>1017</v>
      </c>
      <c r="M1" s="1639"/>
      <c r="N1" s="1640"/>
      <c r="P1" s="1638" t="s">
        <v>380</v>
      </c>
      <c r="Q1" s="1640"/>
    </row>
    <row r="2" spans="1:26" ht="42" customHeight="1" thickBot="1" x14ac:dyDescent="0.4">
      <c r="A2" s="233" t="s">
        <v>936</v>
      </c>
      <c r="B2" s="164" t="s">
        <v>452</v>
      </c>
      <c r="C2" s="164" t="s">
        <v>411</v>
      </c>
      <c r="D2" s="164" t="s">
        <v>453</v>
      </c>
      <c r="E2" s="233" t="s">
        <v>411</v>
      </c>
      <c r="H2" s="1644" t="s">
        <v>1018</v>
      </c>
      <c r="I2" s="1645"/>
      <c r="J2" s="1646"/>
      <c r="L2" s="1641" t="s">
        <v>1019</v>
      </c>
      <c r="M2" s="1642"/>
      <c r="N2" s="1643"/>
      <c r="P2" s="233" t="s">
        <v>121</v>
      </c>
      <c r="Q2" s="233" t="s">
        <v>1020</v>
      </c>
      <c r="S2" s="1322" t="s">
        <v>1021</v>
      </c>
      <c r="T2" s="1324"/>
      <c r="W2" s="1638" t="s">
        <v>1022</v>
      </c>
      <c r="X2" s="1639"/>
      <c r="Y2" s="1639"/>
      <c r="Z2" s="1640"/>
    </row>
    <row r="3" spans="1:26" x14ac:dyDescent="0.2">
      <c r="A3" s="85" t="str">
        <f>'G-1 All Habitats'!B103</f>
        <v>Coastal lagoons - Coastal lagoons</v>
      </c>
      <c r="B3" s="404" t="str">
        <f>'G-1 All Habitats'!N103</f>
        <v>Medium</v>
      </c>
      <c r="C3" s="404">
        <f>'G-1 All Habitats'!O103</f>
        <v>0.67</v>
      </c>
      <c r="D3" s="404" t="str">
        <f>'G-1 All Habitats'!P103</f>
        <v>Medium</v>
      </c>
      <c r="E3" s="404">
        <f>'G-1 All Habitats'!Q103</f>
        <v>0.67</v>
      </c>
      <c r="H3" s="78" t="s">
        <v>287</v>
      </c>
      <c r="I3" s="226" t="s">
        <v>1023</v>
      </c>
      <c r="J3" s="226" t="s">
        <v>1024</v>
      </c>
      <c r="L3" s="226" t="s">
        <v>1023</v>
      </c>
      <c r="M3" s="78" t="s">
        <v>272</v>
      </c>
      <c r="N3" s="226" t="s">
        <v>411</v>
      </c>
      <c r="P3" s="100" t="s">
        <v>216</v>
      </c>
      <c r="Q3" s="404">
        <v>1</v>
      </c>
      <c r="S3" s="226" t="s">
        <v>121</v>
      </c>
      <c r="T3" s="226" t="s">
        <v>411</v>
      </c>
      <c r="W3" s="233" t="s">
        <v>63</v>
      </c>
      <c r="X3" s="233" t="s">
        <v>1025</v>
      </c>
      <c r="Y3" s="233" t="s">
        <v>1026</v>
      </c>
      <c r="Z3" s="233" t="s">
        <v>1027</v>
      </c>
    </row>
    <row r="4" spans="1:26" ht="28.5" x14ac:dyDescent="0.2">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1028</v>
      </c>
      <c r="J4" s="155">
        <v>1.1499999999999999</v>
      </c>
      <c r="L4" s="100" t="s">
        <v>1029</v>
      </c>
      <c r="M4" s="382" t="s">
        <v>1030</v>
      </c>
      <c r="N4" s="404">
        <v>1.1499999999999999</v>
      </c>
      <c r="P4" s="100" t="s">
        <v>70</v>
      </c>
      <c r="Q4" s="404">
        <v>0.67</v>
      </c>
      <c r="S4" s="100" t="s">
        <v>1031</v>
      </c>
      <c r="T4" s="382">
        <v>1</v>
      </c>
      <c r="W4" s="79" t="s">
        <v>69</v>
      </c>
      <c r="X4" s="404">
        <v>0.3</v>
      </c>
      <c r="Y4" s="404">
        <f>X4*12</f>
        <v>3.5999999999999996</v>
      </c>
      <c r="Z4" s="495">
        <f>3.14159265358979*(Y4*Y4)/10000</f>
        <v>4.0715040790523672E-3</v>
      </c>
    </row>
    <row r="5" spans="1:26" ht="42.75" x14ac:dyDescent="0.2">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1032</v>
      </c>
      <c r="J5" s="155">
        <v>1.1000000000000001</v>
      </c>
      <c r="L5" s="100" t="s">
        <v>1033</v>
      </c>
      <c r="M5" s="382" t="s">
        <v>1034</v>
      </c>
      <c r="N5" s="404">
        <v>1.1000000000000001</v>
      </c>
      <c r="P5" s="100" t="s">
        <v>213</v>
      </c>
      <c r="Q5" s="404">
        <v>0.33</v>
      </c>
      <c r="S5" s="100" t="s">
        <v>1035</v>
      </c>
      <c r="T5" s="382">
        <v>0.75</v>
      </c>
      <c r="W5" s="79" t="s">
        <v>70</v>
      </c>
      <c r="X5" s="404">
        <v>0.9</v>
      </c>
      <c r="Y5" s="404">
        <f>X5*12</f>
        <v>10.8</v>
      </c>
      <c r="Z5" s="495">
        <f>3.14159265358979*(Y5*Y5)/10000</f>
        <v>3.664353671147131E-2</v>
      </c>
    </row>
    <row r="6" spans="1:26" ht="42.75" x14ac:dyDescent="0.2">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1036</v>
      </c>
      <c r="J6" s="155">
        <v>1</v>
      </c>
      <c r="L6" s="100" t="s">
        <v>1037</v>
      </c>
      <c r="M6" s="382" t="s">
        <v>1038</v>
      </c>
      <c r="N6" s="404">
        <v>1</v>
      </c>
      <c r="P6" s="100" t="s">
        <v>211</v>
      </c>
      <c r="Q6" s="404">
        <v>0.1</v>
      </c>
      <c r="S6" s="265" t="s">
        <v>1039</v>
      </c>
      <c r="T6" s="382">
        <v>0.5</v>
      </c>
      <c r="W6" s="79" t="s">
        <v>71</v>
      </c>
      <c r="X6" s="404">
        <v>1.3</v>
      </c>
      <c r="Y6" s="404">
        <f>X6*12</f>
        <v>15.600000000000001</v>
      </c>
      <c r="Z6" s="495">
        <f>3.14159265358979*(Y6*Y6)/10000</f>
        <v>7.645379881776114E-2</v>
      </c>
    </row>
    <row r="7" spans="1:26" ht="49.9" customHeight="1" x14ac:dyDescent="0.2">
      <c r="A7" s="85" t="str">
        <f>'G-1 All Habitats'!B5</f>
        <v>Cropland - Arable field margins pollen and nectar</v>
      </c>
      <c r="B7" s="404" t="str">
        <f>'G-1 All Habitats'!N5</f>
        <v>Low</v>
      </c>
      <c r="C7" s="404">
        <f>'G-1 All Habitats'!O5</f>
        <v>1</v>
      </c>
      <c r="D7" s="404" t="str">
        <f>'G-1 All Habitats'!P5</f>
        <v>Low</v>
      </c>
      <c r="E7" s="404">
        <f>'G-1 All Habitats'!Q5</f>
        <v>1</v>
      </c>
      <c r="H7" s="234" t="s">
        <v>1040</v>
      </c>
      <c r="I7" s="116" t="s">
        <v>1041</v>
      </c>
      <c r="J7" s="155">
        <v>1</v>
      </c>
      <c r="S7" s="265" t="s">
        <v>1042</v>
      </c>
      <c r="T7" s="404">
        <v>1</v>
      </c>
    </row>
    <row r="8" spans="1:26" ht="49.9" customHeight="1" x14ac:dyDescent="0.2">
      <c r="A8" s="85" t="str">
        <f>'G-1 All Habitats'!B6</f>
        <v>Cropland - Arable field margins tussocky</v>
      </c>
      <c r="B8" s="404" t="str">
        <f>'G-1 All Habitats'!N6</f>
        <v>Low</v>
      </c>
      <c r="C8" s="404">
        <f>'G-1 All Habitats'!O6</f>
        <v>1</v>
      </c>
      <c r="D8" s="404" t="str">
        <f>'G-1 All Habitats'!P6</f>
        <v>Low</v>
      </c>
      <c r="E8" s="404">
        <f>'G-1 All Habitats'!Q6</f>
        <v>1</v>
      </c>
      <c r="S8" s="265" t="s">
        <v>1043</v>
      </c>
      <c r="T8" s="382">
        <v>1</v>
      </c>
    </row>
    <row r="9" spans="1:26" ht="49.9" customHeight="1" x14ac:dyDescent="0.2">
      <c r="A9" s="85" t="str">
        <f>'G-1 All Habitats'!B7</f>
        <v>Cropland - Cereal crops</v>
      </c>
      <c r="B9" s="404" t="str">
        <f>'G-1 All Habitats'!N7</f>
        <v>Low</v>
      </c>
      <c r="C9" s="404">
        <f>'G-1 All Habitats'!O7</f>
        <v>1</v>
      </c>
      <c r="D9" s="404" t="str">
        <f>'G-1 All Habitats'!P7</f>
        <v>Low</v>
      </c>
      <c r="E9" s="404">
        <f>'G-1 All Habitats'!Q7</f>
        <v>1</v>
      </c>
      <c r="S9" s="265" t="s">
        <v>1044</v>
      </c>
      <c r="T9" s="382">
        <v>0.75</v>
      </c>
    </row>
    <row r="10" spans="1:26" ht="57" x14ac:dyDescent="0.2">
      <c r="A10" s="85" t="str">
        <f>'G-1 All Habitats'!B8</f>
        <v>Cropland - Winter stubble</v>
      </c>
      <c r="B10" s="404" t="str">
        <f>'G-1 All Habitats'!N8</f>
        <v>Low</v>
      </c>
      <c r="C10" s="404">
        <f>'G-1 All Habitats'!O8</f>
        <v>1</v>
      </c>
      <c r="D10" s="404" t="str">
        <f>'G-1 All Habitats'!P8</f>
        <v>Low</v>
      </c>
      <c r="E10" s="404">
        <f>'G-1 All Habitats'!Q8</f>
        <v>1</v>
      </c>
      <c r="S10" s="265" t="s">
        <v>1045</v>
      </c>
      <c r="T10" s="382">
        <v>0.5</v>
      </c>
    </row>
    <row r="11" spans="1:26" x14ac:dyDescent="0.2">
      <c r="A11" s="85" t="str">
        <f>'G-1 All Habitats'!B9</f>
        <v>Cropland - Horticulture</v>
      </c>
      <c r="B11" s="404" t="str">
        <f>'G-1 All Habitats'!N9</f>
        <v>Low</v>
      </c>
      <c r="C11" s="404">
        <f>'G-1 All Habitats'!O9</f>
        <v>1</v>
      </c>
      <c r="D11" s="404" t="str">
        <f>'G-1 All Habitats'!P9</f>
        <v>Low</v>
      </c>
      <c r="E11" s="404">
        <f>'G-1 All Habitats'!Q9</f>
        <v>1</v>
      </c>
    </row>
    <row r="12" spans="1:26" x14ac:dyDescent="0.2">
      <c r="A12" s="85" t="str">
        <f>'G-1 All Habitats'!B10</f>
        <v>Cropland - Intensive orchards</v>
      </c>
      <c r="B12" s="404" t="str">
        <f>'G-1 All Habitats'!N10</f>
        <v>Low</v>
      </c>
      <c r="C12" s="404">
        <f>'G-1 All Habitats'!O10</f>
        <v>1</v>
      </c>
      <c r="D12" s="404" t="str">
        <f>'G-1 All Habitats'!P10</f>
        <v>Low</v>
      </c>
      <c r="E12" s="404">
        <f>'G-1 All Habitats'!Q10</f>
        <v>1</v>
      </c>
    </row>
    <row r="13" spans="1:26" x14ac:dyDescent="0.2">
      <c r="A13" s="85" t="str">
        <f>'G-1 All Habitats'!B11</f>
        <v>Cropland - Non-cereal crops</v>
      </c>
      <c r="B13" s="404" t="str">
        <f>'G-1 All Habitats'!N11</f>
        <v>Low</v>
      </c>
      <c r="C13" s="404">
        <f>'G-1 All Habitats'!O11</f>
        <v>1</v>
      </c>
      <c r="D13" s="404" t="str">
        <f>'G-1 All Habitats'!P11</f>
        <v>Low</v>
      </c>
      <c r="E13" s="404">
        <f>'G-1 All Habitats'!Q11</f>
        <v>1</v>
      </c>
    </row>
    <row r="14" spans="1:26" x14ac:dyDescent="0.2">
      <c r="A14" s="85" t="str">
        <f>'G-1 All Habitats'!B12</f>
        <v>Cropland - Temporary grass and clover leys</v>
      </c>
      <c r="B14" s="404" t="str">
        <f>'G-1 All Habitats'!N12</f>
        <v>Low</v>
      </c>
      <c r="C14" s="404">
        <f>'G-1 All Habitats'!O12</f>
        <v>1</v>
      </c>
      <c r="D14" s="404" t="str">
        <f>'G-1 All Habitats'!P12</f>
        <v>Low</v>
      </c>
      <c r="E14" s="404">
        <f>'G-1 All Habitats'!Q12</f>
        <v>1</v>
      </c>
    </row>
    <row r="15" spans="1:26" x14ac:dyDescent="0.2">
      <c r="A15" s="85" t="str">
        <f>'G-1 All Habitats'!B13</f>
        <v>Grassland - Traditional orchards</v>
      </c>
      <c r="B15" s="404" t="str">
        <f>'G-1 All Habitats'!N13</f>
        <v>Low</v>
      </c>
      <c r="C15" s="404">
        <f>'G-1 All Habitats'!O13</f>
        <v>1</v>
      </c>
      <c r="D15" s="404" t="str">
        <f>'G-1 All Habitats'!P13</f>
        <v>Medium</v>
      </c>
      <c r="E15" s="404">
        <f>'G-1 All Habitats'!Q13</f>
        <v>0.67</v>
      </c>
    </row>
    <row r="16" spans="1:26" x14ac:dyDescent="0.2">
      <c r="A16" s="85" t="str">
        <f>'G-1 All Habitats'!B14</f>
        <v>Grassland - Bracken</v>
      </c>
      <c r="B16" s="404" t="str">
        <f>'G-1 All Habitats'!N14</f>
        <v>Low</v>
      </c>
      <c r="C16" s="404">
        <f>'G-1 All Habitats'!O14</f>
        <v>1</v>
      </c>
      <c r="D16" s="404" t="str">
        <f>'G-1 All Habitats'!P14</f>
        <v>Low</v>
      </c>
      <c r="E16" s="404">
        <f>'G-1 All Habitats'!Q14</f>
        <v>1</v>
      </c>
    </row>
    <row r="17" spans="1:5" x14ac:dyDescent="0.2">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x14ac:dyDescent="0.2">
      <c r="A18" s="85" t="str">
        <f>'G-1 All Habitats'!B16</f>
        <v>Grassland - Lowland calcareous grassland</v>
      </c>
      <c r="B18" s="404" t="str">
        <f>'G-1 All Habitats'!N16</f>
        <v>High</v>
      </c>
      <c r="C18" s="404">
        <f>'G-1 All Habitats'!O16</f>
        <v>0.33</v>
      </c>
      <c r="D18" s="404" t="str">
        <f>'G-1 All Habitats'!P16</f>
        <v>High</v>
      </c>
      <c r="E18" s="404">
        <f>'G-1 All Habitats'!Q16</f>
        <v>0.33</v>
      </c>
    </row>
    <row r="19" spans="1:5" x14ac:dyDescent="0.2">
      <c r="A19" s="85" t="str">
        <f>'G-1 All Habitats'!B17</f>
        <v>Grassland - Lowland dry acid grassland</v>
      </c>
      <c r="B19" s="404" t="str">
        <f>'G-1 All Habitats'!N17</f>
        <v>High</v>
      </c>
      <c r="C19" s="404">
        <f>'G-1 All Habitats'!O17</f>
        <v>0.33</v>
      </c>
      <c r="D19" s="404" t="str">
        <f>'G-1 All Habitats'!P17</f>
        <v>High</v>
      </c>
      <c r="E19" s="404">
        <f>'G-1 All Habitats'!Q17</f>
        <v>0.33</v>
      </c>
    </row>
    <row r="20" spans="1:5" x14ac:dyDescent="0.2">
      <c r="A20" s="85" t="str">
        <f>'G-1 All Habitats'!B18</f>
        <v>Grassland - Lowland meadows</v>
      </c>
      <c r="B20" s="404" t="str">
        <f>'G-1 All Habitats'!N18</f>
        <v>High</v>
      </c>
      <c r="C20" s="404">
        <f>'G-1 All Habitats'!O18</f>
        <v>0.33</v>
      </c>
      <c r="D20" s="404" t="str">
        <f>'G-1 All Habitats'!P18</f>
        <v>Medium</v>
      </c>
      <c r="E20" s="404">
        <f>'G-1 All Habitats'!Q18</f>
        <v>0.67</v>
      </c>
    </row>
    <row r="21" spans="1:5" x14ac:dyDescent="0.2">
      <c r="A21" s="85" t="str">
        <f>'G-1 All Habitats'!B19</f>
        <v>Grassland - Modified grassland</v>
      </c>
      <c r="B21" s="404" t="str">
        <f>'G-1 All Habitats'!N19</f>
        <v>Low</v>
      </c>
      <c r="C21" s="404">
        <f>'G-1 All Habitats'!O19</f>
        <v>1</v>
      </c>
      <c r="D21" s="404" t="str">
        <f>'G-1 All Habitats'!P19</f>
        <v>Low</v>
      </c>
      <c r="E21" s="404">
        <f>'G-1 All Habitats'!Q19</f>
        <v>1</v>
      </c>
    </row>
    <row r="22" spans="1:5" x14ac:dyDescent="0.2">
      <c r="A22" s="85" t="str">
        <f>'G-1 All Habitats'!B20</f>
        <v>Grassland - Other lowland acid grassland</v>
      </c>
      <c r="B22" s="404" t="str">
        <f>'G-1 All Habitats'!N20</f>
        <v>Low</v>
      </c>
      <c r="C22" s="404">
        <f>'G-1 All Habitats'!O20</f>
        <v>1</v>
      </c>
      <c r="D22" s="404" t="str">
        <f>'G-1 All Habitats'!P20</f>
        <v>Low</v>
      </c>
      <c r="E22" s="404">
        <f>'G-1 All Habitats'!Q20</f>
        <v>1</v>
      </c>
    </row>
    <row r="23" spans="1:5" x14ac:dyDescent="0.2">
      <c r="A23" s="85" t="str">
        <f>'G-1 All Habitats'!B21</f>
        <v>Grassland - Other neutral grassland</v>
      </c>
      <c r="B23" s="404" t="str">
        <f>'G-1 All Habitats'!N21</f>
        <v>Low</v>
      </c>
      <c r="C23" s="404">
        <f>'G-1 All Habitats'!O21</f>
        <v>1</v>
      </c>
      <c r="D23" s="404" t="str">
        <f>'G-1 All Habitats'!P21</f>
        <v>Low</v>
      </c>
      <c r="E23" s="404">
        <f>'G-1 All Habitats'!Q21</f>
        <v>1</v>
      </c>
    </row>
    <row r="24" spans="1:5" x14ac:dyDescent="0.2">
      <c r="A24" s="85" t="str">
        <f>'G-1 All Habitats'!B22</f>
        <v>Grassland - Tall herb communities (H6430)</v>
      </c>
      <c r="B24" s="404" t="str">
        <f>'G-1 All Habitats'!N22</f>
        <v>High</v>
      </c>
      <c r="C24" s="404">
        <f>'G-1 All Habitats'!O22</f>
        <v>0.33</v>
      </c>
      <c r="D24" s="404" t="str">
        <f>'G-1 All Habitats'!P22</f>
        <v>High</v>
      </c>
      <c r="E24" s="404">
        <f>'G-1 All Habitats'!Q22</f>
        <v>0.33</v>
      </c>
    </row>
    <row r="25" spans="1:5" x14ac:dyDescent="0.2">
      <c r="A25" s="85" t="str">
        <f>'G-1 All Habitats'!B23</f>
        <v>Grassland - Upland acid grassland</v>
      </c>
      <c r="B25" s="404" t="str">
        <f>'G-1 All Habitats'!N23</f>
        <v>Low</v>
      </c>
      <c r="C25" s="404">
        <f>'G-1 All Habitats'!O23</f>
        <v>1</v>
      </c>
      <c r="D25" s="404" t="str">
        <f>'G-1 All Habitats'!P23</f>
        <v>Low</v>
      </c>
      <c r="E25" s="404">
        <f>'G-1 All Habitats'!Q23</f>
        <v>1</v>
      </c>
    </row>
    <row r="26" spans="1:5" x14ac:dyDescent="0.2">
      <c r="A26" s="85" t="str">
        <f>'G-1 All Habitats'!B24</f>
        <v>Grassland - Upland calcareous grassland</v>
      </c>
      <c r="B26" s="404" t="str">
        <f>'G-1 All Habitats'!N24</f>
        <v>High</v>
      </c>
      <c r="C26" s="404">
        <f>'G-1 All Habitats'!O24</f>
        <v>0.33</v>
      </c>
      <c r="D26" s="404" t="str">
        <f>'G-1 All Habitats'!P24</f>
        <v>High</v>
      </c>
      <c r="E26" s="404">
        <f>'G-1 All Habitats'!Q24</f>
        <v>0.33</v>
      </c>
    </row>
    <row r="27" spans="1:5" x14ac:dyDescent="0.2">
      <c r="A27" s="85" t="str">
        <f>'G-1 All Habitats'!B25</f>
        <v>Grassland - Upland hay meadows</v>
      </c>
      <c r="B27" s="404" t="str">
        <f>'G-1 All Habitats'!N25</f>
        <v>High</v>
      </c>
      <c r="C27" s="404">
        <f>'G-1 All Habitats'!O25</f>
        <v>0.33</v>
      </c>
      <c r="D27" s="404" t="str">
        <f>'G-1 All Habitats'!P25</f>
        <v>Medium</v>
      </c>
      <c r="E27" s="404">
        <f>'G-1 All Habitats'!Q25</f>
        <v>0.67</v>
      </c>
    </row>
    <row r="28" spans="1:5" x14ac:dyDescent="0.2">
      <c r="A28" s="85" t="str">
        <f>'G-1 All Habitats'!B26</f>
        <v>Heathland and shrub - Blackthorn scrub</v>
      </c>
      <c r="B28" s="404" t="str">
        <f>'G-1 All Habitats'!N26</f>
        <v>Low</v>
      </c>
      <c r="C28" s="404">
        <f>'G-1 All Habitats'!O26</f>
        <v>1</v>
      </c>
      <c r="D28" s="404" t="str">
        <f>'G-1 All Habitats'!P26</f>
        <v>Low</v>
      </c>
      <c r="E28" s="404">
        <f>'G-1 All Habitats'!Q26</f>
        <v>1</v>
      </c>
    </row>
    <row r="29" spans="1:5" x14ac:dyDescent="0.2">
      <c r="A29" s="85" t="str">
        <f>'G-1 All Habitats'!B27</f>
        <v>Heathland and shrub - Bramble scrub</v>
      </c>
      <c r="B29" s="404" t="str">
        <f>'G-1 All Habitats'!N27</f>
        <v>Low</v>
      </c>
      <c r="C29" s="404">
        <f>'G-1 All Habitats'!O27</f>
        <v>1</v>
      </c>
      <c r="D29" s="404" t="str">
        <f>'G-1 All Habitats'!P27</f>
        <v>Low</v>
      </c>
      <c r="E29" s="404">
        <f>'G-1 All Habitats'!Q27</f>
        <v>1</v>
      </c>
    </row>
    <row r="30" spans="1:5" x14ac:dyDescent="0.2">
      <c r="A30" s="85" t="str">
        <f>'G-1 All Habitats'!B28</f>
        <v>Heathland and shrub - Gorse scrub</v>
      </c>
      <c r="B30" s="404" t="str">
        <f>'G-1 All Habitats'!N28</f>
        <v>Low</v>
      </c>
      <c r="C30" s="404">
        <f>'G-1 All Habitats'!O28</f>
        <v>1</v>
      </c>
      <c r="D30" s="404" t="str">
        <f>'G-1 All Habitats'!P28</f>
        <v>Low</v>
      </c>
      <c r="E30" s="404">
        <f>'G-1 All Habitats'!Q28</f>
        <v>1</v>
      </c>
    </row>
    <row r="31" spans="1:5" x14ac:dyDescent="0.2">
      <c r="A31" s="85" t="str">
        <f>'G-1 All Habitats'!B29</f>
        <v>Heathland and shrub - Hawthorn scrub</v>
      </c>
      <c r="B31" s="404" t="str">
        <f>'G-1 All Habitats'!N29</f>
        <v>Low</v>
      </c>
      <c r="C31" s="404">
        <f>'G-1 All Habitats'!O29</f>
        <v>1</v>
      </c>
      <c r="D31" s="404" t="str">
        <f>'G-1 All Habitats'!P29</f>
        <v>Low</v>
      </c>
      <c r="E31" s="404">
        <f>'G-1 All Habitats'!Q29</f>
        <v>1</v>
      </c>
    </row>
    <row r="32" spans="1:5" x14ac:dyDescent="0.2">
      <c r="A32" s="85" t="str">
        <f>'G-1 All Habitats'!B30</f>
        <v>Heathland and shrub - Hazel scrub</v>
      </c>
      <c r="B32" s="404" t="s">
        <v>70</v>
      </c>
      <c r="C32" s="404">
        <f>'G-1 All Habitats'!O30</f>
        <v>0.67</v>
      </c>
      <c r="D32" s="404" t="s">
        <v>216</v>
      </c>
      <c r="E32" s="404">
        <f>'G-1 All Habitats'!Q30</f>
        <v>1</v>
      </c>
    </row>
    <row r="33" spans="1:5" x14ac:dyDescent="0.2">
      <c r="A33" s="85" t="s">
        <v>609</v>
      </c>
      <c r="B33" s="404" t="s">
        <v>70</v>
      </c>
      <c r="C33" s="404">
        <v>0.67</v>
      </c>
      <c r="D33" s="404" t="s">
        <v>216</v>
      </c>
      <c r="E33" s="404">
        <v>1</v>
      </c>
    </row>
    <row r="34" spans="1:5" x14ac:dyDescent="0.2">
      <c r="A34" s="85" t="str">
        <f>'G-1 All Habitats'!B31</f>
        <v>Heathland and shrub - Lowland heathland</v>
      </c>
      <c r="B34" s="404" t="str">
        <f>'G-1 All Habitats'!N31</f>
        <v>High</v>
      </c>
      <c r="C34" s="404">
        <f>'G-1 All Habitats'!O31</f>
        <v>0.33</v>
      </c>
      <c r="D34" s="404" t="str">
        <f>'G-1 All Habitats'!P31</f>
        <v>Medium</v>
      </c>
      <c r="E34" s="404">
        <f>'G-1 All Habitats'!Q31</f>
        <v>0.67</v>
      </c>
    </row>
    <row r="35" spans="1:5" x14ac:dyDescent="0.2">
      <c r="A35" s="85" t="str">
        <f>'G-1 All Habitats'!B32</f>
        <v>Heathland and shrub - Mixed scrub</v>
      </c>
      <c r="B35" s="404" t="str">
        <f>'G-1 All Habitats'!N32</f>
        <v>Low</v>
      </c>
      <c r="C35" s="404">
        <f>'G-1 All Habitats'!O32</f>
        <v>1</v>
      </c>
      <c r="D35" s="404" t="str">
        <f>'G-1 All Habitats'!P32</f>
        <v>Low</v>
      </c>
      <c r="E35" s="404">
        <f>'G-1 All Habitats'!Q32</f>
        <v>1</v>
      </c>
    </row>
    <row r="36" spans="1:5" x14ac:dyDescent="0.2">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x14ac:dyDescent="0.2">
      <c r="A37" s="85" t="str">
        <f>'G-1 All Habitats'!B34</f>
        <v>Heathland and shrub - Rhododendron scrub</v>
      </c>
      <c r="B37" s="404" t="str">
        <f>'G-1 All Habitats'!N34</f>
        <v>Low</v>
      </c>
      <c r="C37" s="404">
        <f>'G-1 All Habitats'!O34</f>
        <v>1</v>
      </c>
      <c r="D37" s="404" t="str">
        <f>'G-1 All Habitats'!P34</f>
        <v>Low</v>
      </c>
      <c r="E37" s="404">
        <f>'G-1 All Habitats'!Q34</f>
        <v>1</v>
      </c>
    </row>
    <row r="38" spans="1:5" x14ac:dyDescent="0.2">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x14ac:dyDescent="0.2">
      <c r="A39" s="85" t="str">
        <f>'G-1 All Habitats'!B36</f>
        <v>Heathland and shrub - Other sea buckthorn scrub</v>
      </c>
      <c r="B39" s="404" t="str">
        <f>'G-1 All Habitats'!N36</f>
        <v>Low</v>
      </c>
      <c r="C39" s="404">
        <f>'G-1 All Habitats'!O36</f>
        <v>1</v>
      </c>
      <c r="D39" s="404" t="str">
        <f>'G-1 All Habitats'!P36</f>
        <v>Low</v>
      </c>
      <c r="E39" s="404">
        <f>'G-1 All Habitats'!Q36</f>
        <v>1</v>
      </c>
    </row>
    <row r="40" spans="1:5" x14ac:dyDescent="0.2">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x14ac:dyDescent="0.2">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x14ac:dyDescent="0.2">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x14ac:dyDescent="0.2">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x14ac:dyDescent="0.2">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x14ac:dyDescent="0.2">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x14ac:dyDescent="0.2">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x14ac:dyDescent="0.2">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x14ac:dyDescent="0.2">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x14ac:dyDescent="0.2">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x14ac:dyDescent="0.2">
      <c r="A50" s="85" t="str">
        <f>'G-1 All Habitats'!B115</f>
        <v>Intertidal sediment - Littoral mud</v>
      </c>
      <c r="B50" s="404" t="str">
        <f>'G-1 All Habitats'!N115</f>
        <v>High</v>
      </c>
      <c r="C50" s="404">
        <f>'G-1 All Habitats'!O115</f>
        <v>0.33</v>
      </c>
      <c r="D50" s="404" t="str">
        <f>'G-1 All Habitats'!P115</f>
        <v>Medium</v>
      </c>
      <c r="E50" s="404">
        <f>'G-1 All Habitats'!Q115</f>
        <v>0.67</v>
      </c>
    </row>
    <row r="51" spans="1:5" x14ac:dyDescent="0.2">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x14ac:dyDescent="0.2">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x14ac:dyDescent="0.2">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x14ac:dyDescent="0.2">
      <c r="A54" s="85" t="str">
        <f>'G-1 All Habitats'!B40</f>
        <v>Lakes - Ornamental lake or pond</v>
      </c>
      <c r="B54" s="404" t="str">
        <f>'G-1 All Habitats'!N40</f>
        <v>Low</v>
      </c>
      <c r="C54" s="404">
        <f>'G-1 All Habitats'!O40</f>
        <v>1</v>
      </c>
      <c r="D54" s="404" t="str">
        <f>'G-1 All Habitats'!P40</f>
        <v>High</v>
      </c>
      <c r="E54" s="404">
        <f>'G-1 All Habitats'!Q40</f>
        <v>0.33</v>
      </c>
    </row>
    <row r="55" spans="1:5" x14ac:dyDescent="0.2">
      <c r="A55" s="85" t="str">
        <f>'G-1 All Habitats'!B41</f>
        <v>Lakes - High alkalinity lakes</v>
      </c>
      <c r="B55" s="404" t="str">
        <f>'G-1 All Habitats'!N41</f>
        <v>High</v>
      </c>
      <c r="C55" s="404">
        <f>'G-1 All Habitats'!O41</f>
        <v>0.33</v>
      </c>
      <c r="D55" s="404" t="str">
        <f>'G-1 All Habitats'!P41</f>
        <v>High</v>
      </c>
      <c r="E55" s="404">
        <f>'G-1 All Habitats'!Q41</f>
        <v>0.33</v>
      </c>
    </row>
    <row r="56" spans="1:5" x14ac:dyDescent="0.2">
      <c r="A56" s="85" t="str">
        <f>'G-1 All Habitats'!B42</f>
        <v>Lakes - Low alkalinity lakes</v>
      </c>
      <c r="B56" s="404" t="str">
        <f>'G-1 All Habitats'!N42</f>
        <v>High</v>
      </c>
      <c r="C56" s="404">
        <f>'G-1 All Habitats'!O42</f>
        <v>0.33</v>
      </c>
      <c r="D56" s="404" t="str">
        <f>'G-1 All Habitats'!P42</f>
        <v>Medium</v>
      </c>
      <c r="E56" s="404">
        <f>'G-1 All Habitats'!Q42</f>
        <v>0.67</v>
      </c>
    </row>
    <row r="57" spans="1:5" x14ac:dyDescent="0.2">
      <c r="A57" s="85" t="str">
        <f>'G-1 All Habitats'!B43</f>
        <v>Lakes - Marl lakes</v>
      </c>
      <c r="B57" s="404" t="str">
        <f>'G-1 All Habitats'!N43</f>
        <v>High</v>
      </c>
      <c r="C57" s="404">
        <f>'G-1 All Habitats'!O43</f>
        <v>0.33</v>
      </c>
      <c r="D57" s="404" t="str">
        <f>'G-1 All Habitats'!P43</f>
        <v>High</v>
      </c>
      <c r="E57" s="404">
        <f>'G-1 All Habitats'!Q43</f>
        <v>0.33</v>
      </c>
    </row>
    <row r="58" spans="1:5" x14ac:dyDescent="0.2">
      <c r="A58" s="85" t="str">
        <f>'G-1 All Habitats'!B44</f>
        <v>Lakes - Moderate alkalinity lakes</v>
      </c>
      <c r="B58" s="404" t="str">
        <f>'G-1 All Habitats'!N44</f>
        <v>High</v>
      </c>
      <c r="C58" s="404">
        <f>'G-1 All Habitats'!O44</f>
        <v>0.33</v>
      </c>
      <c r="D58" s="404" t="str">
        <f>'G-1 All Habitats'!P44</f>
        <v>High</v>
      </c>
      <c r="E58" s="404">
        <f>'G-1 All Habitats'!Q44</f>
        <v>0.33</v>
      </c>
    </row>
    <row r="59" spans="1:5" x14ac:dyDescent="0.2">
      <c r="A59" s="85" t="str">
        <f>'G-1 All Habitats'!B45</f>
        <v>Lakes - Peat lakes</v>
      </c>
      <c r="B59" s="404" t="str">
        <f>'G-1 All Habitats'!N45</f>
        <v>High</v>
      </c>
      <c r="C59" s="404">
        <f>'G-1 All Habitats'!O45</f>
        <v>0.33</v>
      </c>
      <c r="D59" s="404" t="str">
        <f>'G-1 All Habitats'!P45</f>
        <v>High</v>
      </c>
      <c r="E59" s="404">
        <f>'G-1 All Habitats'!Q45</f>
        <v>0.33</v>
      </c>
    </row>
    <row r="60" spans="1:5" x14ac:dyDescent="0.2">
      <c r="A60" s="85" t="str">
        <f>'G-1 All Habitats'!B47</f>
        <v>Lakes - Ponds (non-priority habitat)</v>
      </c>
      <c r="B60" s="404" t="str">
        <f>'G-1 All Habitats'!N47</f>
        <v>Low</v>
      </c>
      <c r="C60" s="404">
        <f>'G-1 All Habitats'!O47</f>
        <v>1</v>
      </c>
      <c r="D60" s="404" t="str">
        <f>'G-1 All Habitats'!P47</f>
        <v>Medium</v>
      </c>
      <c r="E60" s="404">
        <f>'G-1 All Habitats'!Q47</f>
        <v>0.67</v>
      </c>
    </row>
    <row r="61" spans="1:5" x14ac:dyDescent="0.2">
      <c r="A61" s="85" t="str">
        <f>'G-1 All Habitats'!B46</f>
        <v>Lakes - Ponds (priority habitat)</v>
      </c>
      <c r="B61" s="404" t="str">
        <f>'G-1 All Habitats'!N46</f>
        <v>Medium</v>
      </c>
      <c r="C61" s="404">
        <f>'G-1 All Habitats'!O46</f>
        <v>0.67</v>
      </c>
      <c r="D61" s="404" t="str">
        <f>'G-1 All Habitats'!P46</f>
        <v>Medium</v>
      </c>
      <c r="E61" s="404">
        <f>'G-1 All Habitats'!Q46</f>
        <v>0.67</v>
      </c>
    </row>
    <row r="62" spans="1:5" x14ac:dyDescent="0.2">
      <c r="A62" s="85" t="str">
        <f>'G-1 All Habitats'!B48</f>
        <v>Lakes - Reservoirs</v>
      </c>
      <c r="B62" s="404" t="str">
        <f>'G-1 All Habitats'!N48</f>
        <v>Medium</v>
      </c>
      <c r="C62" s="404">
        <f>'G-1 All Habitats'!O48</f>
        <v>0.67</v>
      </c>
      <c r="D62" s="404" t="str">
        <f>'G-1 All Habitats'!P48</f>
        <v>Medium</v>
      </c>
      <c r="E62" s="404">
        <f>'G-1 All Habitats'!Q48</f>
        <v>0.67</v>
      </c>
    </row>
    <row r="63" spans="1:5" x14ac:dyDescent="0.2">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x14ac:dyDescent="0.2">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x14ac:dyDescent="0.2">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x14ac:dyDescent="0.2">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x14ac:dyDescent="0.2">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x14ac:dyDescent="0.2">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x14ac:dyDescent="0.2">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x14ac:dyDescent="0.2">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x14ac:dyDescent="0.2">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x14ac:dyDescent="0.2">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x14ac:dyDescent="0.2">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x14ac:dyDescent="0.2">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x14ac:dyDescent="0.2">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x14ac:dyDescent="0.2">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x14ac:dyDescent="0.2">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x14ac:dyDescent="0.2">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x14ac:dyDescent="0.2">
      <c r="A79" s="85" t="str">
        <f>'G-1 All Habitats'!B53</f>
        <v>Sparsely vegetated land - Ruderal/Ephemeral</v>
      </c>
      <c r="B79" s="404" t="str">
        <f>'G-1 All Habitats'!N53</f>
        <v>Low</v>
      </c>
      <c r="C79" s="404">
        <f>'G-1 All Habitats'!O53</f>
        <v>1</v>
      </c>
      <c r="D79" s="404" t="str">
        <f>'G-1 All Habitats'!P53</f>
        <v>Medium</v>
      </c>
      <c r="E79" s="404">
        <f>'G-1 All Habitats'!Q53</f>
        <v>0.67</v>
      </c>
    </row>
    <row r="80" spans="1:5" x14ac:dyDescent="0.2">
      <c r="A80" s="85" t="str">
        <f>'G-1 All Habitats'!B54</f>
        <v>Sparsely vegetated land - Tall forbs</v>
      </c>
      <c r="B80" s="404" t="str">
        <f>'G-1 All Habitats'!N54</f>
        <v>Low</v>
      </c>
      <c r="C80" s="404">
        <f>'G-1 All Habitats'!O54</f>
        <v>1</v>
      </c>
      <c r="D80" s="404" t="str">
        <f>'G-1 All Habitats'!P54</f>
        <v>Medium</v>
      </c>
      <c r="E80" s="404">
        <f>'G-1 All Habitats'!Q54</f>
        <v>0.67</v>
      </c>
    </row>
    <row r="81" spans="1:5" x14ac:dyDescent="0.2">
      <c r="A81" s="85" t="str">
        <f>'G-1 All Habitats'!B77</f>
        <v>Urban - Vacant or derelict land</v>
      </c>
      <c r="B81" s="404" t="str">
        <f>'G-1 All Habitats'!N77</f>
        <v>Low</v>
      </c>
      <c r="C81" s="404">
        <f>'G-1 All Habitats'!O77</f>
        <v>1</v>
      </c>
      <c r="D81" s="404" t="str">
        <f>'G-1 All Habitats'!P77</f>
        <v>Low</v>
      </c>
      <c r="E81" s="404">
        <f>'G-1 All Habitats'!Q77</f>
        <v>1</v>
      </c>
    </row>
    <row r="82" spans="1:5" x14ac:dyDescent="0.2">
      <c r="A82" s="85" t="s">
        <v>738</v>
      </c>
      <c r="B82" s="404" t="s">
        <v>216</v>
      </c>
      <c r="C82" s="404">
        <v>1</v>
      </c>
      <c r="D82" s="404" t="s">
        <v>216</v>
      </c>
      <c r="E82" s="404">
        <v>1</v>
      </c>
    </row>
    <row r="83" spans="1:5" x14ac:dyDescent="0.2">
      <c r="A83" s="85" t="str">
        <f>'G-1 All Habitats'!B59</f>
        <v>Urban - Allotments</v>
      </c>
      <c r="B83" s="404" t="str">
        <f>'G-1 All Habitats'!N59</f>
        <v>Low</v>
      </c>
      <c r="C83" s="404">
        <f>'G-1 All Habitats'!O59</f>
        <v>1</v>
      </c>
      <c r="D83" s="404" t="str">
        <f>'G-1 All Habitats'!P59</f>
        <v>Low</v>
      </c>
      <c r="E83" s="404">
        <f>'G-1 All Habitats'!Q59</f>
        <v>1</v>
      </c>
    </row>
    <row r="84" spans="1:5" x14ac:dyDescent="0.2">
      <c r="A84" s="85" t="str">
        <f>'G-1 All Habitats'!B60</f>
        <v>Urban - Artificial unvegetated, unsealed surface</v>
      </c>
      <c r="B84" s="404" t="str">
        <f>'G-1 All Habitats'!N60</f>
        <v>Low</v>
      </c>
      <c r="C84" s="404">
        <f>'G-1 All Habitats'!O60</f>
        <v>1</v>
      </c>
      <c r="D84" s="404" t="str">
        <f>'G-1 All Habitats'!P60</f>
        <v>Low</v>
      </c>
      <c r="E84" s="404">
        <f>'G-1 All Habitats'!Q60</f>
        <v>1</v>
      </c>
    </row>
    <row r="85" spans="1:5" x14ac:dyDescent="0.2">
      <c r="A85" s="85" t="str">
        <f>'G-1 All Habitats'!B61</f>
        <v>Urban - Bioswale</v>
      </c>
      <c r="B85" s="404" t="str">
        <f>'G-1 All Habitats'!N61</f>
        <v>Medium</v>
      </c>
      <c r="C85" s="404">
        <f>'G-1 All Habitats'!O61</f>
        <v>0.67</v>
      </c>
      <c r="D85" s="404" t="str">
        <f>'G-1 All Habitats'!P61</f>
        <v>Low</v>
      </c>
      <c r="E85" s="404">
        <f>'G-1 All Habitats'!Q61</f>
        <v>1</v>
      </c>
    </row>
    <row r="86" spans="1:5" x14ac:dyDescent="0.2">
      <c r="A86" s="85" t="str">
        <f>'G-1 All Habitats'!B62</f>
        <v>Urban - Intensive green roof</v>
      </c>
      <c r="B86" s="404" t="str">
        <f>'G-1 All Habitats'!N62</f>
        <v>Low</v>
      </c>
      <c r="C86" s="404">
        <f>'G-1 All Habitats'!O62</f>
        <v>1</v>
      </c>
      <c r="D86" s="404" t="str">
        <f>'G-1 All Habitats'!P62</f>
        <v>Low</v>
      </c>
      <c r="E86" s="404">
        <f>'G-1 All Habitats'!Q62</f>
        <v>1</v>
      </c>
    </row>
    <row r="87" spans="1:5" x14ac:dyDescent="0.2">
      <c r="A87" s="85" t="str">
        <f>'G-1 All Habitats'!B63</f>
        <v>Urban - Built linear features</v>
      </c>
      <c r="B87" s="404" t="str">
        <f>'G-1 All Habitats'!N63</f>
        <v>Low</v>
      </c>
      <c r="C87" s="404">
        <f>'G-1 All Habitats'!O63</f>
        <v>1</v>
      </c>
      <c r="D87" s="404" t="str">
        <f>'G-1 All Habitats'!P63</f>
        <v>Low</v>
      </c>
      <c r="E87" s="404">
        <f>'G-1 All Habitats'!Q63</f>
        <v>1</v>
      </c>
    </row>
    <row r="88" spans="1:5" x14ac:dyDescent="0.2">
      <c r="A88" s="85" t="str">
        <f>'G-1 All Habitats'!B64</f>
        <v>Urban - Cemeteries and churchyards</v>
      </c>
      <c r="B88" s="404" t="str">
        <f>'G-1 All Habitats'!N64</f>
        <v>Medium</v>
      </c>
      <c r="C88" s="404">
        <f>'G-1 All Habitats'!O64</f>
        <v>0.67</v>
      </c>
      <c r="D88" s="404" t="str">
        <f>'G-1 All Habitats'!P64</f>
        <v>Low</v>
      </c>
      <c r="E88" s="404">
        <f>'G-1 All Habitats'!Q64</f>
        <v>1</v>
      </c>
    </row>
    <row r="89" spans="1:5" x14ac:dyDescent="0.2">
      <c r="A89" s="85" t="str">
        <f>'G-1 All Habitats'!B65</f>
        <v>Urban - Developed land; sealed surface</v>
      </c>
      <c r="B89" s="404" t="str">
        <f>'G-1 All Habitats'!N65</f>
        <v>Low</v>
      </c>
      <c r="C89" s="404">
        <f>'G-1 All Habitats'!O65</f>
        <v>1</v>
      </c>
      <c r="D89" s="404" t="str">
        <f>'G-1 All Habitats'!P65</f>
        <v>Medium</v>
      </c>
      <c r="E89" s="404">
        <f>'G-1 All Habitats'!Q65</f>
        <v>0.67</v>
      </c>
    </row>
    <row r="90" spans="1:5" x14ac:dyDescent="0.2">
      <c r="A90" s="85" t="str">
        <f>'G-1 All Habitats'!B66</f>
        <v>Urban - Other green roof</v>
      </c>
      <c r="B90" s="404" t="str">
        <f>'G-1 All Habitats'!N66</f>
        <v>Low</v>
      </c>
      <c r="C90" s="404">
        <f>'G-1 All Habitats'!O66</f>
        <v>1</v>
      </c>
      <c r="D90" s="404" t="str">
        <f>'G-1 All Habitats'!P66</f>
        <v>Low</v>
      </c>
      <c r="E90" s="404">
        <f>'G-1 All Habitats'!Q66</f>
        <v>1</v>
      </c>
    </row>
    <row r="91" spans="1:5" x14ac:dyDescent="0.2">
      <c r="A91" s="85" t="str">
        <f>'G-1 All Habitats'!B67</f>
        <v>Urban - Facade-bound green wall</v>
      </c>
      <c r="B91" s="404" t="str">
        <f>'G-1 All Habitats'!N67</f>
        <v>Medium</v>
      </c>
      <c r="C91" s="404">
        <f>'G-1 All Habitats'!O67</f>
        <v>0.67</v>
      </c>
      <c r="D91" s="404" t="str">
        <f>'G-1 All Habitats'!P67</f>
        <v>Medium</v>
      </c>
      <c r="E91" s="404">
        <f>'G-1 All Habitats'!Q67</f>
        <v>0.67</v>
      </c>
    </row>
    <row r="92" spans="1:5" x14ac:dyDescent="0.2">
      <c r="A92" s="85" t="str">
        <f>'G-1 All Habitats'!B68</f>
        <v>Urban - Ground based green wall</v>
      </c>
      <c r="B92" s="404" t="str">
        <f>'G-1 All Habitats'!N68</f>
        <v>Medium</v>
      </c>
      <c r="C92" s="404">
        <f>'G-1 All Habitats'!O68</f>
        <v>0.67</v>
      </c>
      <c r="D92" s="404" t="str">
        <f>'G-1 All Habitats'!P68</f>
        <v>Medium</v>
      </c>
      <c r="E92" s="404">
        <f>'G-1 All Habitats'!Q68</f>
        <v>0.67</v>
      </c>
    </row>
    <row r="93" spans="1:5" x14ac:dyDescent="0.2">
      <c r="A93" s="85" t="str">
        <f>'G-1 All Habitats'!B69</f>
        <v>Urban - Ground level planters</v>
      </c>
      <c r="B93" s="404" t="str">
        <f>'G-1 All Habitats'!N69</f>
        <v>Low</v>
      </c>
      <c r="C93" s="404">
        <f>'G-1 All Habitats'!O69</f>
        <v>1</v>
      </c>
      <c r="D93" s="404" t="str">
        <f>'G-1 All Habitats'!P69</f>
        <v>Low</v>
      </c>
      <c r="E93" s="404">
        <f>'G-1 All Habitats'!Q69</f>
        <v>1</v>
      </c>
    </row>
    <row r="94" spans="1:5" x14ac:dyDescent="0.2">
      <c r="A94" s="85" t="str">
        <f>'G-1 All Habitats'!B70</f>
        <v>Urban - Biodiverse green roof</v>
      </c>
      <c r="B94" s="404" t="str">
        <f>'G-1 All Habitats'!N70</f>
        <v>Medium</v>
      </c>
      <c r="C94" s="404">
        <f>'G-1 All Habitats'!O70</f>
        <v>0.67</v>
      </c>
      <c r="D94" s="404" t="str">
        <f>'G-1 All Habitats'!P70</f>
        <v>Medium</v>
      </c>
      <c r="E94" s="404">
        <f>'G-1 All Habitats'!Q70</f>
        <v>0.67</v>
      </c>
    </row>
    <row r="95" spans="1:5" x14ac:dyDescent="0.2">
      <c r="A95" s="85" t="str">
        <f>'G-1 All Habitats'!B71</f>
        <v>Urban - Introduced shrub</v>
      </c>
      <c r="B95" s="404" t="str">
        <f>'G-1 All Habitats'!N71</f>
        <v>Low</v>
      </c>
      <c r="C95" s="404">
        <f>'G-1 All Habitats'!O71</f>
        <v>1</v>
      </c>
      <c r="D95" s="404" t="str">
        <f>'G-1 All Habitats'!P71</f>
        <v>Low</v>
      </c>
      <c r="E95" s="404">
        <f>'G-1 All Habitats'!Q71</f>
        <v>1</v>
      </c>
    </row>
    <row r="96" spans="1:5" x14ac:dyDescent="0.2">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x14ac:dyDescent="0.2">
      <c r="A97" s="85" t="str">
        <f>'G-1 All Habitats'!B73</f>
        <v>Urban - Rain garden</v>
      </c>
      <c r="B97" s="404" t="str">
        <f>'G-1 All Habitats'!N73</f>
        <v>Low</v>
      </c>
      <c r="C97" s="404">
        <f>'G-1 All Habitats'!O73</f>
        <v>1</v>
      </c>
      <c r="D97" s="404" t="str">
        <f>'G-1 All Habitats'!P73</f>
        <v>Low</v>
      </c>
      <c r="E97" s="404">
        <f>'G-1 All Habitats'!Q73</f>
        <v>1</v>
      </c>
    </row>
    <row r="98" spans="1:5" x14ac:dyDescent="0.2">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x14ac:dyDescent="0.2">
      <c r="A99" s="85" t="str">
        <f>'G-1 All Habitats'!B80</f>
        <v>Individual trees - Urban tree</v>
      </c>
      <c r="B99" s="404" t="str">
        <f>'G-1 All Habitats'!N80</f>
        <v>Low</v>
      </c>
      <c r="C99" s="404">
        <f>'G-1 All Habitats'!O80</f>
        <v>1</v>
      </c>
      <c r="D99" s="404" t="str">
        <f>'G-1 All Habitats'!P80</f>
        <v>Low</v>
      </c>
      <c r="E99" s="404">
        <f>'G-1 All Habitats'!Q80</f>
        <v>1</v>
      </c>
    </row>
    <row r="100" spans="1:5" x14ac:dyDescent="0.2">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x14ac:dyDescent="0.2">
      <c r="A101" s="85" t="str">
        <f>'G-1 All Habitats'!B76</f>
        <v>Urban - Unvegetated garden</v>
      </c>
      <c r="B101" s="404" t="str">
        <f>'G-1 All Habitats'!N76</f>
        <v>Low</v>
      </c>
      <c r="C101" s="404">
        <f>'G-1 All Habitats'!O76</f>
        <v>1</v>
      </c>
      <c r="D101" s="404" t="str">
        <f>'G-1 All Habitats'!P76</f>
        <v>Low</v>
      </c>
      <c r="E101" s="404">
        <f>'G-1 All Habitats'!Q76</f>
        <v>1</v>
      </c>
    </row>
    <row r="102" spans="1:5" x14ac:dyDescent="0.2">
      <c r="A102" s="85" t="str">
        <f>'G-1 All Habitats'!B79</f>
        <v>Urban - Vegetated garden</v>
      </c>
      <c r="B102" s="404" t="str">
        <f>'G-1 All Habitats'!N79</f>
        <v>Low</v>
      </c>
      <c r="C102" s="404">
        <f>'G-1 All Habitats'!O79</f>
        <v>1</v>
      </c>
      <c r="D102" s="404" t="str">
        <f>'G-1 All Habitats'!P79</f>
        <v>Low</v>
      </c>
      <c r="E102" s="404">
        <f>'G-1 All Habitats'!Q79</f>
        <v>1</v>
      </c>
    </row>
    <row r="103" spans="1:5" x14ac:dyDescent="0.2">
      <c r="A103" s="85" t="str">
        <f>'G-1 All Habitats'!B82</f>
        <v>Wetland - Blanket bog</v>
      </c>
      <c r="B103" s="404" t="str">
        <f>'G-1 All Habitats'!N82</f>
        <v>Very High</v>
      </c>
      <c r="C103" s="404">
        <f>'G-1 All Habitats'!O82</f>
        <v>0.1</v>
      </c>
      <c r="D103" s="404" t="str">
        <f>'G-1 All Habitats'!P82</f>
        <v>High</v>
      </c>
      <c r="E103" s="404">
        <f>'G-1 All Habitats'!Q82</f>
        <v>0.33</v>
      </c>
    </row>
    <row r="104" spans="1:5" x14ac:dyDescent="0.2">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x14ac:dyDescent="0.2">
      <c r="A105" s="85" t="str">
        <f>'G-1 All Habitats'!B84</f>
        <v>Wetland - Fens (upland and lowland)</v>
      </c>
      <c r="B105" s="404" t="str">
        <f>'G-1 All Habitats'!N84</f>
        <v>High</v>
      </c>
      <c r="C105" s="404">
        <f>'G-1 All Habitats'!O84</f>
        <v>0.33</v>
      </c>
      <c r="D105" s="404" t="str">
        <f>'G-1 All Habitats'!P84</f>
        <v>High</v>
      </c>
      <c r="E105" s="404">
        <f>'G-1 All Habitats'!Q84</f>
        <v>0.33</v>
      </c>
    </row>
    <row r="106" spans="1:5" x14ac:dyDescent="0.2">
      <c r="A106" s="85" t="str">
        <f>'G-1 All Habitats'!B85</f>
        <v>Wetland - Lowland raised bog</v>
      </c>
      <c r="B106" s="404" t="str">
        <f>'G-1 All Habitats'!N85</f>
        <v>Very High</v>
      </c>
      <c r="C106" s="404">
        <f>'G-1 All Habitats'!O85</f>
        <v>0.1</v>
      </c>
      <c r="D106" s="404" t="str">
        <f>'G-1 All Habitats'!P85</f>
        <v>High</v>
      </c>
      <c r="E106" s="404">
        <f>'G-1 All Habitats'!Q85</f>
        <v>0.33</v>
      </c>
    </row>
    <row r="107" spans="1:5" x14ac:dyDescent="0.2">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x14ac:dyDescent="0.2">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x14ac:dyDescent="0.2">
      <c r="A109" s="85" t="str">
        <f>'G-1 All Habitats'!B88</f>
        <v>Wetland - Reedbeds</v>
      </c>
      <c r="B109" s="404" t="str">
        <f>'G-1 All Habitats'!N88</f>
        <v>Medium</v>
      </c>
      <c r="C109" s="404">
        <f>'G-1 All Habitats'!O88</f>
        <v>0.67</v>
      </c>
      <c r="D109" s="404" t="str">
        <f>'G-1 All Habitats'!P88</f>
        <v>Medium</v>
      </c>
      <c r="E109" s="404">
        <f>'G-1 All Habitats'!Q88</f>
        <v>0.67</v>
      </c>
    </row>
    <row r="110" spans="1:5" x14ac:dyDescent="0.2">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x14ac:dyDescent="0.2">
      <c r="A111" s="85" t="str">
        <f>'G-1 All Habitats'!B90</f>
        <v>Woodland and forest - Felled</v>
      </c>
      <c r="B111" s="404" t="s">
        <v>213</v>
      </c>
      <c r="C111" s="404">
        <f>'G-1 All Habitats'!O90</f>
        <v>0.33</v>
      </c>
      <c r="D111" s="404" t="str">
        <f>'G-1 All Habitats'!P90</f>
        <v>Low</v>
      </c>
      <c r="E111" s="404">
        <f>'G-1 All Habitats'!Q90</f>
        <v>1</v>
      </c>
    </row>
    <row r="112" spans="1:5" x14ac:dyDescent="0.2">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x14ac:dyDescent="0.2">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x14ac:dyDescent="0.2">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x14ac:dyDescent="0.2">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x14ac:dyDescent="0.2">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x14ac:dyDescent="0.2">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x14ac:dyDescent="0.2">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x14ac:dyDescent="0.2">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x14ac:dyDescent="0.2">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x14ac:dyDescent="0.2">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x14ac:dyDescent="0.2">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x14ac:dyDescent="0.2">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x14ac:dyDescent="0.2">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x14ac:dyDescent="0.2">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x14ac:dyDescent="0.2">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x14ac:dyDescent="0.2">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x14ac:dyDescent="0.2">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x14ac:dyDescent="0.2">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x14ac:dyDescent="0.2">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x14ac:dyDescent="0.2">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x14ac:dyDescent="0.2">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x14ac:dyDescent="0.2">
      <c r="A133" s="85" t="s">
        <v>929</v>
      </c>
      <c r="B133" s="404" t="s">
        <v>216</v>
      </c>
      <c r="C133" s="404">
        <v>1</v>
      </c>
      <c r="D133" s="404" t="s">
        <v>216</v>
      </c>
      <c r="E133" s="404">
        <v>1</v>
      </c>
    </row>
    <row r="134" spans="1:5" x14ac:dyDescent="0.2">
      <c r="A134" s="85" t="str">
        <f>'G-1 All Habitats'!B81</f>
        <v>Individual trees - Rural tree</v>
      </c>
      <c r="B134" s="404" t="str">
        <f>'G-1 All Habitats'!N81</f>
        <v>Low</v>
      </c>
      <c r="C134" s="404">
        <f>'G-1 All Habitats'!O81</f>
        <v>1</v>
      </c>
      <c r="D134" s="404" t="str">
        <f>'G-1 All Habitats'!P81</f>
        <v>Low</v>
      </c>
      <c r="E134" s="404">
        <f>'G-1 All Habitats'!Q81</f>
        <v>1</v>
      </c>
    </row>
    <row r="135" spans="1:5" x14ac:dyDescent="0.2"/>
    <row r="136" spans="1:5" x14ac:dyDescent="0.2"/>
    <row r="137" spans="1:5" x14ac:dyDescent="0.2"/>
    <row r="138" spans="1:5" x14ac:dyDescent="0.2"/>
    <row r="139" spans="1:5" x14ac:dyDescent="0.2"/>
    <row r="140" spans="1:5" x14ac:dyDescent="0.2"/>
    <row r="141" spans="1:5" x14ac:dyDescent="0.2"/>
    <row r="142" spans="1:5" x14ac:dyDescent="0.2"/>
    <row r="143" spans="1:5" x14ac:dyDescent="0.2"/>
    <row r="144" spans="1:5" x14ac:dyDescent="0.2"/>
    <row r="145" x14ac:dyDescent="0.2"/>
    <row r="146" x14ac:dyDescent="0.2"/>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4.25" zeroHeight="1" x14ac:dyDescent="0.2"/>
  <cols>
    <col min="1" max="1" width="14.5703125" style="30" customWidth="1"/>
    <col min="2" max="2" width="16.5703125" style="30" customWidth="1"/>
    <col min="3" max="3" width="16.42578125" style="30" customWidth="1"/>
    <col min="4" max="4" width="3" style="30" customWidth="1"/>
    <col min="5" max="5" width="4.140625" style="30" customWidth="1"/>
    <col min="6" max="6" width="88.85546875" style="30" bestFit="1" customWidth="1"/>
    <col min="7" max="7" width="13.140625" style="30" bestFit="1" customWidth="1"/>
    <col min="8" max="8" width="18.5703125" style="30" bestFit="1" customWidth="1"/>
    <col min="9" max="9" width="16.855468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140625" style="30" customWidth="1"/>
    <col min="15" max="16" width="12.140625" style="30" customWidth="1"/>
    <col min="17" max="17" width="12.85546875" style="30" customWidth="1"/>
    <col min="18" max="18" width="11.42578125" style="30" customWidth="1"/>
    <col min="19" max="33" width="9.140625" style="30" customWidth="1"/>
    <col min="34" max="34" width="8.140625" style="30" hidden="1" customWidth="1"/>
    <col min="35" max="16384" width="9.140625" style="30" hidden="1"/>
  </cols>
  <sheetData>
    <row r="1" spans="1:13" ht="55.15" customHeight="1" x14ac:dyDescent="0.4">
      <c r="A1" s="1648"/>
      <c r="B1" s="1648"/>
      <c r="C1" s="1648"/>
      <c r="F1" s="227"/>
      <c r="G1" s="227"/>
      <c r="H1" s="227"/>
      <c r="I1" s="227"/>
      <c r="J1" s="227"/>
      <c r="K1" s="227"/>
      <c r="L1" s="227"/>
      <c r="M1" s="227"/>
    </row>
    <row r="2" spans="1:13" ht="29.45" customHeight="1" x14ac:dyDescent="0.4">
      <c r="A2" s="1647" t="s">
        <v>1046</v>
      </c>
      <c r="B2" s="1647"/>
      <c r="C2" s="1647"/>
      <c r="F2" s="228"/>
      <c r="G2" s="1649" t="s">
        <v>1047</v>
      </c>
      <c r="H2" s="1649"/>
      <c r="I2" s="1649"/>
      <c r="J2" s="1649"/>
      <c r="K2" s="1649"/>
      <c r="L2" s="1649"/>
      <c r="M2" s="1650"/>
    </row>
    <row r="3" spans="1:13" ht="42.75" x14ac:dyDescent="0.2">
      <c r="A3" s="78" t="s">
        <v>1048</v>
      </c>
      <c r="B3" s="78" t="s">
        <v>1049</v>
      </c>
      <c r="C3" s="78" t="s">
        <v>1050</v>
      </c>
      <c r="F3" s="229" t="s">
        <v>936</v>
      </c>
      <c r="G3" s="79" t="s">
        <v>68</v>
      </c>
      <c r="H3" s="79" t="s">
        <v>473</v>
      </c>
      <c r="I3" s="79" t="s">
        <v>67</v>
      </c>
      <c r="J3" s="79" t="s">
        <v>483</v>
      </c>
      <c r="K3" s="100" t="s">
        <v>329</v>
      </c>
      <c r="L3" s="100" t="s">
        <v>493</v>
      </c>
      <c r="M3" s="79" t="s">
        <v>497</v>
      </c>
    </row>
    <row r="4" spans="1:13" x14ac:dyDescent="0.2">
      <c r="A4" s="79">
        <v>0</v>
      </c>
      <c r="B4" s="404">
        <v>100</v>
      </c>
      <c r="C4" s="492">
        <v>1</v>
      </c>
      <c r="F4" s="68" t="str">
        <f>'G-1 All Habitats'!B3</f>
        <v>Cropland - Arable field margins cultivated annually</v>
      </c>
      <c r="G4" s="404" t="s">
        <v>1051</v>
      </c>
      <c r="H4" s="404" t="s">
        <v>1051</v>
      </c>
      <c r="I4" s="404" t="s">
        <v>1051</v>
      </c>
      <c r="J4" s="404" t="s">
        <v>1051</v>
      </c>
      <c r="K4" s="404" t="s">
        <v>1051</v>
      </c>
      <c r="L4" s="404">
        <v>1</v>
      </c>
      <c r="M4" s="404" t="s">
        <v>1051</v>
      </c>
    </row>
    <row r="5" spans="1:13" x14ac:dyDescent="0.2">
      <c r="A5" s="79">
        <v>1</v>
      </c>
      <c r="B5" s="404">
        <v>96.5</v>
      </c>
      <c r="C5" s="492">
        <v>0.96499999999999997</v>
      </c>
      <c r="F5" s="68" t="str">
        <f>'G-1 All Habitats'!B4</f>
        <v>Cropland - Arable field margins game bird mix</v>
      </c>
      <c r="G5" s="404" t="s">
        <v>1051</v>
      </c>
      <c r="H5" s="404" t="s">
        <v>1051</v>
      </c>
      <c r="I5" s="404" t="s">
        <v>1051</v>
      </c>
      <c r="J5" s="404" t="s">
        <v>1051</v>
      </c>
      <c r="K5" s="404" t="s">
        <v>1051</v>
      </c>
      <c r="L5" s="404">
        <v>1</v>
      </c>
      <c r="M5" s="404" t="s">
        <v>1051</v>
      </c>
    </row>
    <row r="6" spans="1:13" x14ac:dyDescent="0.2">
      <c r="A6" s="79">
        <v>2</v>
      </c>
      <c r="B6" s="404">
        <v>93.122500000000002</v>
      </c>
      <c r="C6" s="492">
        <v>0.93122499999999997</v>
      </c>
      <c r="F6" s="68" t="str">
        <f>'G-1 All Habitats'!B5</f>
        <v>Cropland - Arable field margins pollen and nectar</v>
      </c>
      <c r="G6" s="404" t="s">
        <v>1051</v>
      </c>
      <c r="H6" s="404" t="s">
        <v>1051</v>
      </c>
      <c r="I6" s="404" t="s">
        <v>1051</v>
      </c>
      <c r="J6" s="404" t="s">
        <v>1051</v>
      </c>
      <c r="K6" s="404" t="s">
        <v>1051</v>
      </c>
      <c r="L6" s="404">
        <v>1</v>
      </c>
      <c r="M6" s="404" t="s">
        <v>1051</v>
      </c>
    </row>
    <row r="7" spans="1:13" x14ac:dyDescent="0.2">
      <c r="A7" s="79">
        <v>3</v>
      </c>
      <c r="B7" s="404">
        <v>89.863212500000003</v>
      </c>
      <c r="C7" s="492">
        <v>0.898632125</v>
      </c>
      <c r="F7" s="68" t="str">
        <f>'G-1 All Habitats'!B6</f>
        <v>Cropland - Arable field margins tussocky</v>
      </c>
      <c r="G7" s="404" t="s">
        <v>1051</v>
      </c>
      <c r="H7" s="404" t="s">
        <v>1051</v>
      </c>
      <c r="I7" s="404" t="s">
        <v>1051</v>
      </c>
      <c r="J7" s="404" t="s">
        <v>1051</v>
      </c>
      <c r="K7" s="404" t="s">
        <v>1051</v>
      </c>
      <c r="L7" s="404">
        <v>1</v>
      </c>
      <c r="M7" s="404" t="s">
        <v>1051</v>
      </c>
    </row>
    <row r="8" spans="1:13" x14ac:dyDescent="0.2">
      <c r="A8" s="79">
        <v>4</v>
      </c>
      <c r="B8" s="404">
        <v>86.718000059999994</v>
      </c>
      <c r="C8" s="492">
        <v>0.86718000059999989</v>
      </c>
      <c r="F8" s="68" t="str">
        <f>'G-1 All Habitats'!B7</f>
        <v>Cropland - Cereal crops</v>
      </c>
      <c r="G8" s="404" t="s">
        <v>1051</v>
      </c>
      <c r="H8" s="404" t="s">
        <v>1051</v>
      </c>
      <c r="I8" s="404" t="s">
        <v>1051</v>
      </c>
      <c r="J8" s="404" t="s">
        <v>1051</v>
      </c>
      <c r="K8" s="404" t="s">
        <v>1051</v>
      </c>
      <c r="L8" s="404">
        <v>1</v>
      </c>
      <c r="M8" s="404" t="s">
        <v>1051</v>
      </c>
    </row>
    <row r="9" spans="1:13" x14ac:dyDescent="0.2">
      <c r="A9" s="79">
        <v>5</v>
      </c>
      <c r="B9" s="404">
        <v>83.682870059999999</v>
      </c>
      <c r="C9" s="492">
        <v>0.83682870060000003</v>
      </c>
      <c r="F9" s="68" t="str">
        <f>'G-1 All Habitats'!B8</f>
        <v>Cropland - Winter stubble</v>
      </c>
      <c r="G9" s="404" t="s">
        <v>1051</v>
      </c>
      <c r="H9" s="404" t="s">
        <v>1051</v>
      </c>
      <c r="I9" s="404" t="s">
        <v>1051</v>
      </c>
      <c r="J9" s="404" t="s">
        <v>1051</v>
      </c>
      <c r="K9" s="404" t="s">
        <v>1051</v>
      </c>
      <c r="L9" s="404">
        <v>1</v>
      </c>
      <c r="M9" s="404" t="s">
        <v>1051</v>
      </c>
    </row>
    <row r="10" spans="1:13" x14ac:dyDescent="0.2">
      <c r="A10" s="79">
        <v>6</v>
      </c>
      <c r="B10" s="404">
        <v>80.753969609999999</v>
      </c>
      <c r="C10" s="492">
        <v>0.80753969609999998</v>
      </c>
      <c r="F10" s="68" t="str">
        <f>'G-1 All Habitats'!B9</f>
        <v>Cropland - Horticulture</v>
      </c>
      <c r="G10" s="404" t="s">
        <v>1051</v>
      </c>
      <c r="H10" s="404" t="s">
        <v>1051</v>
      </c>
      <c r="I10" s="404" t="s">
        <v>1051</v>
      </c>
      <c r="J10" s="404" t="s">
        <v>1051</v>
      </c>
      <c r="K10" s="404" t="s">
        <v>1051</v>
      </c>
      <c r="L10" s="404">
        <v>1</v>
      </c>
      <c r="M10" s="404" t="s">
        <v>1051</v>
      </c>
    </row>
    <row r="11" spans="1:13" x14ac:dyDescent="0.2">
      <c r="A11" s="79">
        <v>7</v>
      </c>
      <c r="B11" s="404">
        <v>77.927580669999998</v>
      </c>
      <c r="C11" s="492">
        <v>0.77927580669999996</v>
      </c>
      <c r="F11" s="68" t="str">
        <f>'G-1 All Habitats'!B10</f>
        <v>Cropland - Intensive orchards</v>
      </c>
      <c r="G11" s="404" t="s">
        <v>1051</v>
      </c>
      <c r="H11" s="404" t="s">
        <v>1051</v>
      </c>
      <c r="I11" s="404" t="s">
        <v>1051</v>
      </c>
      <c r="J11" s="404" t="s">
        <v>1051</v>
      </c>
      <c r="K11" s="404" t="s">
        <v>1051</v>
      </c>
      <c r="L11" s="404">
        <v>1</v>
      </c>
      <c r="M11" s="404" t="s">
        <v>1051</v>
      </c>
    </row>
    <row r="12" spans="1:13" x14ac:dyDescent="0.2">
      <c r="A12" s="79">
        <v>8</v>
      </c>
      <c r="B12" s="404">
        <v>75.200115350000004</v>
      </c>
      <c r="C12" s="492">
        <v>0.75200115350000007</v>
      </c>
      <c r="F12" s="68" t="str">
        <f>'G-1 All Habitats'!B11</f>
        <v>Cropland - Non-cereal crops</v>
      </c>
      <c r="G12" s="404" t="s">
        <v>1051</v>
      </c>
      <c r="H12" s="404" t="s">
        <v>1051</v>
      </c>
      <c r="I12" s="404" t="s">
        <v>1051</v>
      </c>
      <c r="J12" s="404" t="s">
        <v>1051</v>
      </c>
      <c r="K12" s="404" t="s">
        <v>1051</v>
      </c>
      <c r="L12" s="404">
        <v>1</v>
      </c>
      <c r="M12" s="404" t="s">
        <v>1051</v>
      </c>
    </row>
    <row r="13" spans="1:13" x14ac:dyDescent="0.2">
      <c r="A13" s="79">
        <v>9</v>
      </c>
      <c r="B13" s="404">
        <v>72.568111310000006</v>
      </c>
      <c r="C13" s="492">
        <v>0.72568111310000005</v>
      </c>
      <c r="F13" s="68" t="str">
        <f>'G-1 All Habitats'!B12</f>
        <v>Cropland - Temporary grass and clover leys</v>
      </c>
      <c r="G13" s="404" t="s">
        <v>1051</v>
      </c>
      <c r="H13" s="404" t="s">
        <v>1051</v>
      </c>
      <c r="I13" s="404" t="s">
        <v>1051</v>
      </c>
      <c r="J13" s="404" t="s">
        <v>1051</v>
      </c>
      <c r="K13" s="404" t="s">
        <v>1051</v>
      </c>
      <c r="L13" s="404">
        <v>1</v>
      </c>
      <c r="M13" s="404" t="s">
        <v>1051</v>
      </c>
    </row>
    <row r="14" spans="1:13" x14ac:dyDescent="0.2">
      <c r="A14" s="79">
        <v>10</v>
      </c>
      <c r="B14" s="404">
        <v>70.028227419999993</v>
      </c>
      <c r="C14" s="492">
        <v>0.70028227419999989</v>
      </c>
      <c r="F14" s="68" t="str">
        <f>'G-1 All Habitats'!B13</f>
        <v>Grassland - Traditional orchards</v>
      </c>
      <c r="G14" s="404">
        <v>30</v>
      </c>
      <c r="H14" s="404">
        <v>25</v>
      </c>
      <c r="I14" s="404">
        <v>20</v>
      </c>
      <c r="J14" s="404">
        <v>10</v>
      </c>
      <c r="K14" s="404">
        <v>5</v>
      </c>
      <c r="L14" s="404" t="s">
        <v>1051</v>
      </c>
      <c r="M14" s="404" t="s">
        <v>1051</v>
      </c>
    </row>
    <row r="15" spans="1:13" x14ac:dyDescent="0.2">
      <c r="A15" s="79">
        <v>11</v>
      </c>
      <c r="B15" s="404">
        <v>67.577239460000001</v>
      </c>
      <c r="C15" s="492">
        <v>0.67577239460000005</v>
      </c>
      <c r="F15" s="68" t="str">
        <f>'G-1 All Habitats'!B14</f>
        <v>Grassland - Bracken</v>
      </c>
      <c r="G15" s="404" t="s">
        <v>1051</v>
      </c>
      <c r="H15" s="404" t="s">
        <v>1051</v>
      </c>
      <c r="I15" s="404" t="s">
        <v>1051</v>
      </c>
      <c r="J15" s="404" t="s">
        <v>1051</v>
      </c>
      <c r="K15" s="404" t="s">
        <v>1051</v>
      </c>
      <c r="L15" s="404">
        <v>1</v>
      </c>
      <c r="M15" s="404" t="s">
        <v>1051</v>
      </c>
    </row>
    <row r="16" spans="1:13" x14ac:dyDescent="0.2">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1051</v>
      </c>
      <c r="M16" s="404" t="s">
        <v>1051</v>
      </c>
    </row>
    <row r="17" spans="1:13" x14ac:dyDescent="0.2">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1051</v>
      </c>
      <c r="M17" s="404" t="s">
        <v>1051</v>
      </c>
    </row>
    <row r="18" spans="1:13" x14ac:dyDescent="0.2">
      <c r="A18" s="79">
        <v>14</v>
      </c>
      <c r="B18" s="404">
        <v>60.727078290000001</v>
      </c>
      <c r="C18" s="492">
        <v>0.60727078290000003</v>
      </c>
      <c r="F18" s="68" t="str">
        <f>'G-1 All Habitats'!B17</f>
        <v>Grassland - Lowland dry acid grassland</v>
      </c>
      <c r="G18" s="404" t="s">
        <v>1052</v>
      </c>
      <c r="H18" s="404">
        <v>25</v>
      </c>
      <c r="I18" s="404">
        <v>20</v>
      </c>
      <c r="J18" s="404">
        <v>15</v>
      </c>
      <c r="K18" s="404">
        <v>10</v>
      </c>
      <c r="L18" s="404" t="s">
        <v>1051</v>
      </c>
      <c r="M18" s="404" t="s">
        <v>1051</v>
      </c>
    </row>
    <row r="19" spans="1:13" x14ac:dyDescent="0.2">
      <c r="A19" s="79">
        <v>15</v>
      </c>
      <c r="B19" s="404">
        <v>58.601630550000003</v>
      </c>
      <c r="C19" s="492">
        <v>0.58601630550000006</v>
      </c>
      <c r="F19" s="68" t="str">
        <f>'G-1 All Habitats'!B18</f>
        <v>Grassland - Lowland meadows</v>
      </c>
      <c r="G19" s="404">
        <v>15</v>
      </c>
      <c r="H19" s="404">
        <v>12</v>
      </c>
      <c r="I19" s="404">
        <v>10</v>
      </c>
      <c r="J19" s="404">
        <v>8</v>
      </c>
      <c r="K19" s="404">
        <v>5</v>
      </c>
      <c r="L19" s="404" t="s">
        <v>1051</v>
      </c>
      <c r="M19" s="404" t="s">
        <v>1051</v>
      </c>
    </row>
    <row r="20" spans="1:13" x14ac:dyDescent="0.2">
      <c r="A20" s="79">
        <v>16</v>
      </c>
      <c r="B20" s="404">
        <v>56.550573479999997</v>
      </c>
      <c r="C20" s="492">
        <v>0.56550573479999999</v>
      </c>
      <c r="F20" s="68" t="str">
        <f>'G-1 All Habitats'!B19</f>
        <v>Grassland - Modified grassland</v>
      </c>
      <c r="G20" s="404">
        <v>7</v>
      </c>
      <c r="H20" s="404">
        <v>5</v>
      </c>
      <c r="I20" s="404">
        <v>4</v>
      </c>
      <c r="J20" s="404">
        <v>2</v>
      </c>
      <c r="K20" s="404">
        <v>1</v>
      </c>
      <c r="L20" s="404" t="s">
        <v>1051</v>
      </c>
      <c r="M20" s="404" t="s">
        <v>1051</v>
      </c>
    </row>
    <row r="21" spans="1:13" ht="15" customHeight="1" x14ac:dyDescent="0.2">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1051</v>
      </c>
      <c r="M21" s="404" t="s">
        <v>1051</v>
      </c>
    </row>
    <row r="22" spans="1:13" ht="15" customHeight="1" x14ac:dyDescent="0.2">
      <c r="A22" s="79">
        <v>18</v>
      </c>
      <c r="B22" s="404">
        <v>52.661307790000002</v>
      </c>
      <c r="C22" s="492">
        <v>0.5266130779</v>
      </c>
      <c r="F22" s="68" t="str">
        <f>'G-1 All Habitats'!B21</f>
        <v>Grassland - Other neutral grassland</v>
      </c>
      <c r="G22" s="404">
        <v>10</v>
      </c>
      <c r="H22" s="404">
        <v>7</v>
      </c>
      <c r="I22" s="404">
        <v>5</v>
      </c>
      <c r="J22" s="404">
        <v>3</v>
      </c>
      <c r="K22" s="404">
        <v>2</v>
      </c>
      <c r="L22" s="404" t="s">
        <v>1051</v>
      </c>
      <c r="M22" s="404" t="s">
        <v>1051</v>
      </c>
    </row>
    <row r="23" spans="1:13" ht="15" customHeight="1" x14ac:dyDescent="0.2">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1051</v>
      </c>
      <c r="M23" s="404" t="s">
        <v>1051</v>
      </c>
    </row>
    <row r="24" spans="1:13" ht="15" customHeight="1" x14ac:dyDescent="0.2">
      <c r="A24" s="79">
        <v>20</v>
      </c>
      <c r="B24" s="404">
        <v>49.039526350000003</v>
      </c>
      <c r="C24" s="492">
        <v>0.49039526350000001</v>
      </c>
      <c r="F24" s="68" t="str">
        <f>'G-1 All Habitats'!B23</f>
        <v>Grassland - Upland acid grassland</v>
      </c>
      <c r="G24" s="404">
        <v>15</v>
      </c>
      <c r="H24" s="404">
        <v>12</v>
      </c>
      <c r="I24" s="404">
        <v>10</v>
      </c>
      <c r="J24" s="404">
        <v>5</v>
      </c>
      <c r="K24" s="404">
        <v>1</v>
      </c>
      <c r="L24" s="404" t="s">
        <v>1051</v>
      </c>
      <c r="M24" s="404" t="s">
        <v>1051</v>
      </c>
    </row>
    <row r="25" spans="1:13" ht="15" customHeight="1" x14ac:dyDescent="0.2">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1051</v>
      </c>
      <c r="M25" s="404" t="s">
        <v>1051</v>
      </c>
    </row>
    <row r="26" spans="1:13" ht="15" customHeight="1" x14ac:dyDescent="0.2">
      <c r="A26" s="79">
        <v>22</v>
      </c>
      <c r="B26" s="404">
        <v>45.666832919999997</v>
      </c>
      <c r="C26" s="492">
        <v>0.4566683292</v>
      </c>
      <c r="F26" s="68" t="str">
        <f>'G-1 All Habitats'!B25</f>
        <v>Grassland - Upland hay meadows</v>
      </c>
      <c r="G26" s="404">
        <v>20</v>
      </c>
      <c r="H26" s="404">
        <v>18</v>
      </c>
      <c r="I26" s="404">
        <v>15</v>
      </c>
      <c r="J26" s="404">
        <v>12</v>
      </c>
      <c r="K26" s="404">
        <v>10</v>
      </c>
      <c r="L26" s="404" t="s">
        <v>1051</v>
      </c>
      <c r="M26" s="404" t="s">
        <v>1051</v>
      </c>
    </row>
    <row r="27" spans="1:13" x14ac:dyDescent="0.2">
      <c r="A27" s="79">
        <v>23</v>
      </c>
      <c r="B27" s="404">
        <v>44.068493770000003</v>
      </c>
      <c r="C27" s="492">
        <v>0.44068493770000006</v>
      </c>
      <c r="F27" s="68" t="str">
        <f>'G-1 All Habitats'!B26</f>
        <v>Heathland and shrub - Blackthorn scrub</v>
      </c>
      <c r="G27" s="404">
        <v>10</v>
      </c>
      <c r="H27" s="404">
        <v>7</v>
      </c>
      <c r="I27" s="404">
        <v>5</v>
      </c>
      <c r="J27" s="404">
        <v>3</v>
      </c>
      <c r="K27" s="404">
        <v>1</v>
      </c>
      <c r="L27" s="404" t="s">
        <v>1051</v>
      </c>
      <c r="M27" s="404" t="s">
        <v>1051</v>
      </c>
    </row>
    <row r="28" spans="1:13" x14ac:dyDescent="0.2">
      <c r="A28" s="79">
        <v>24</v>
      </c>
      <c r="B28" s="404">
        <v>42.52609649</v>
      </c>
      <c r="C28" s="492">
        <v>0.42526096489999998</v>
      </c>
      <c r="F28" s="68" t="str">
        <f>'G-1 All Habitats'!B27</f>
        <v>Heathland and shrub - Bramble scrub</v>
      </c>
      <c r="G28" s="404" t="s">
        <v>1051</v>
      </c>
      <c r="H28" s="404" t="s">
        <v>1051</v>
      </c>
      <c r="I28" s="404" t="s">
        <v>1051</v>
      </c>
      <c r="J28" s="404" t="s">
        <v>1051</v>
      </c>
      <c r="K28" s="404" t="s">
        <v>1051</v>
      </c>
      <c r="L28" s="404">
        <v>1</v>
      </c>
      <c r="M28" s="404" t="s">
        <v>1051</v>
      </c>
    </row>
    <row r="29" spans="1:13" x14ac:dyDescent="0.2">
      <c r="A29" s="79">
        <v>25</v>
      </c>
      <c r="B29" s="404">
        <v>41.037683110000003</v>
      </c>
      <c r="C29" s="492">
        <v>0.41037683110000001</v>
      </c>
      <c r="F29" s="68" t="str">
        <f>'G-1 All Habitats'!B28</f>
        <v>Heathland and shrub - Gorse scrub</v>
      </c>
      <c r="G29" s="404">
        <v>10</v>
      </c>
      <c r="H29" s="404">
        <v>7</v>
      </c>
      <c r="I29" s="404">
        <v>5</v>
      </c>
      <c r="J29" s="404">
        <v>3</v>
      </c>
      <c r="K29" s="404">
        <v>1</v>
      </c>
      <c r="L29" s="404" t="s">
        <v>1051</v>
      </c>
      <c r="M29" s="404" t="s">
        <v>1051</v>
      </c>
    </row>
    <row r="30" spans="1:13" x14ac:dyDescent="0.2">
      <c r="A30" s="79">
        <v>26</v>
      </c>
      <c r="B30" s="404">
        <v>39.601364199999999</v>
      </c>
      <c r="C30" s="492">
        <v>0.396013642</v>
      </c>
      <c r="F30" s="68" t="str">
        <f>'G-1 All Habitats'!B29</f>
        <v>Heathland and shrub - Hawthorn scrub</v>
      </c>
      <c r="G30" s="404">
        <v>10</v>
      </c>
      <c r="H30" s="404">
        <v>7</v>
      </c>
      <c r="I30" s="404">
        <v>5</v>
      </c>
      <c r="J30" s="404">
        <v>3</v>
      </c>
      <c r="K30" s="404">
        <v>1</v>
      </c>
      <c r="L30" s="404" t="s">
        <v>1051</v>
      </c>
      <c r="M30" s="404" t="s">
        <v>1051</v>
      </c>
    </row>
    <row r="31" spans="1:13" x14ac:dyDescent="0.2">
      <c r="A31" s="79">
        <v>27</v>
      </c>
      <c r="B31" s="404">
        <v>38.215316459999997</v>
      </c>
      <c r="C31" s="492">
        <v>0.38215316459999998</v>
      </c>
      <c r="F31" s="68" t="str">
        <f>'G-1 All Habitats'!B30</f>
        <v>Heathland and shrub - Hazel scrub</v>
      </c>
      <c r="G31" s="404">
        <v>15</v>
      </c>
      <c r="H31" s="404">
        <v>12</v>
      </c>
      <c r="I31" s="404">
        <v>10</v>
      </c>
      <c r="J31" s="404">
        <v>7</v>
      </c>
      <c r="K31" s="404">
        <v>5</v>
      </c>
      <c r="L31" s="404" t="s">
        <v>1051</v>
      </c>
      <c r="M31" s="404" t="s">
        <v>1051</v>
      </c>
    </row>
    <row r="32" spans="1:13" x14ac:dyDescent="0.2">
      <c r="A32" s="79">
        <v>28</v>
      </c>
      <c r="B32" s="404">
        <v>36.877780379999997</v>
      </c>
      <c r="C32" s="492">
        <v>0.36877780379999997</v>
      </c>
      <c r="F32" s="68" t="s">
        <v>609</v>
      </c>
      <c r="G32" s="404">
        <v>15</v>
      </c>
      <c r="H32" s="404">
        <v>12</v>
      </c>
      <c r="I32" s="404">
        <v>10</v>
      </c>
      <c r="J32" s="404">
        <v>7</v>
      </c>
      <c r="K32" s="404">
        <v>5</v>
      </c>
      <c r="L32" s="404" t="s">
        <v>1051</v>
      </c>
      <c r="M32" s="404" t="s">
        <v>1051</v>
      </c>
    </row>
    <row r="33" spans="1:13" x14ac:dyDescent="0.2">
      <c r="A33" s="79">
        <v>29</v>
      </c>
      <c r="B33" s="404">
        <v>35.587058069999998</v>
      </c>
      <c r="C33" s="492">
        <v>0.35587058069999999</v>
      </c>
      <c r="F33" s="68" t="str">
        <f>'G-1 All Habitats'!B31</f>
        <v>Heathland and shrub - Lowland heathland</v>
      </c>
      <c r="G33" s="404" t="s">
        <v>1052</v>
      </c>
      <c r="H33" s="404">
        <v>25</v>
      </c>
      <c r="I33" s="404">
        <v>20</v>
      </c>
      <c r="J33" s="404">
        <v>15</v>
      </c>
      <c r="K33" s="404">
        <v>10</v>
      </c>
      <c r="L33" s="404" t="s">
        <v>1051</v>
      </c>
      <c r="M33" s="404" t="s">
        <v>1051</v>
      </c>
    </row>
    <row r="34" spans="1:13" x14ac:dyDescent="0.2">
      <c r="A34" s="79">
        <v>30</v>
      </c>
      <c r="B34" s="404">
        <v>34.34151104</v>
      </c>
      <c r="C34" s="492">
        <v>0.3434151104</v>
      </c>
      <c r="F34" s="68" t="str">
        <f>'G-1 All Habitats'!B32</f>
        <v>Heathland and shrub - Mixed scrub</v>
      </c>
      <c r="G34" s="404">
        <v>10</v>
      </c>
      <c r="H34" s="404">
        <v>7</v>
      </c>
      <c r="I34" s="404">
        <v>5</v>
      </c>
      <c r="J34" s="404">
        <v>3</v>
      </c>
      <c r="K34" s="404">
        <v>1</v>
      </c>
      <c r="L34" s="404" t="s">
        <v>1051</v>
      </c>
      <c r="M34" s="404" t="s">
        <v>1051</v>
      </c>
    </row>
    <row r="35" spans="1:13" x14ac:dyDescent="0.2">
      <c r="A35" s="79">
        <v>31</v>
      </c>
      <c r="B35" s="404">
        <v>33.139558149999999</v>
      </c>
      <c r="C35" s="492">
        <v>0.33139558149999998</v>
      </c>
      <c r="F35" s="68" t="str">
        <f>'G-1 All Habitats'!B33</f>
        <v>Heathland and shrub - Mountain heaths and willow scrub</v>
      </c>
      <c r="G35" s="404" t="s">
        <v>1052</v>
      </c>
      <c r="H35" s="404" t="s">
        <v>1052</v>
      </c>
      <c r="I35" s="404">
        <v>25</v>
      </c>
      <c r="J35" s="404">
        <v>23</v>
      </c>
      <c r="K35" s="404">
        <v>15</v>
      </c>
      <c r="L35" s="404" t="s">
        <v>1051</v>
      </c>
      <c r="M35" s="404" t="s">
        <v>1051</v>
      </c>
    </row>
    <row r="36" spans="1:13" x14ac:dyDescent="0.2">
      <c r="A36" s="79" t="s">
        <v>1052</v>
      </c>
      <c r="B36" s="441">
        <v>31.979673609999999</v>
      </c>
      <c r="C36" s="492">
        <v>0.31979673609999998</v>
      </c>
      <c r="F36" s="68" t="str">
        <f>'G-1 All Habitats'!B34</f>
        <v>Heathland and shrub - Rhododendron scrub</v>
      </c>
      <c r="G36" s="404" t="s">
        <v>1051</v>
      </c>
      <c r="H36" s="404" t="s">
        <v>1051</v>
      </c>
      <c r="I36" s="404" t="s">
        <v>1051</v>
      </c>
      <c r="J36" s="404" t="s">
        <v>1051</v>
      </c>
      <c r="K36" s="404" t="s">
        <v>1051</v>
      </c>
      <c r="L36" s="404">
        <v>1</v>
      </c>
      <c r="M36" s="404" t="s">
        <v>1051</v>
      </c>
    </row>
    <row r="37" spans="1:13" x14ac:dyDescent="0.2">
      <c r="A37" s="230" t="s">
        <v>1051</v>
      </c>
      <c r="B37" s="493" t="s">
        <v>1040</v>
      </c>
      <c r="C37" s="493" t="s">
        <v>1040</v>
      </c>
      <c r="F37" s="68" t="str">
        <f>'G-1 All Habitats'!B35</f>
        <v>Heathland and shrub - Dunes with sea buckthorn (H2160)</v>
      </c>
      <c r="G37" s="404">
        <v>10</v>
      </c>
      <c r="H37" s="404">
        <v>7</v>
      </c>
      <c r="I37" s="404">
        <v>5</v>
      </c>
      <c r="J37" s="404">
        <v>3</v>
      </c>
      <c r="K37" s="404">
        <v>1</v>
      </c>
      <c r="L37" s="404" t="s">
        <v>1051</v>
      </c>
      <c r="M37" s="404" t="s">
        <v>1051</v>
      </c>
    </row>
    <row r="38" spans="1:13" x14ac:dyDescent="0.2">
      <c r="F38" s="68" t="str">
        <f>'G-1 All Habitats'!B36</f>
        <v>Heathland and shrub - Other sea buckthorn scrub</v>
      </c>
      <c r="G38" s="404" t="s">
        <v>1051</v>
      </c>
      <c r="H38" s="404" t="s">
        <v>1051</v>
      </c>
      <c r="I38" s="404" t="s">
        <v>1051</v>
      </c>
      <c r="J38" s="404" t="s">
        <v>1051</v>
      </c>
      <c r="K38" s="404" t="s">
        <v>1051</v>
      </c>
      <c r="L38" s="404">
        <v>1</v>
      </c>
      <c r="M38" s="404" t="s">
        <v>1051</v>
      </c>
    </row>
    <row r="39" spans="1:13" x14ac:dyDescent="0.2">
      <c r="A39" s="33"/>
      <c r="B39" s="33"/>
      <c r="C39" s="33"/>
      <c r="F39" s="68" t="str">
        <f>'G-1 All Habitats'!B38</f>
        <v>Heathland and shrub - Upland heathland</v>
      </c>
      <c r="G39" s="404">
        <v>30</v>
      </c>
      <c r="H39" s="404">
        <v>25</v>
      </c>
      <c r="I39" s="404">
        <v>20</v>
      </c>
      <c r="J39" s="404">
        <v>15</v>
      </c>
      <c r="K39" s="404">
        <v>10</v>
      </c>
      <c r="L39" s="404" t="s">
        <v>1051</v>
      </c>
      <c r="M39" s="404" t="s">
        <v>1051</v>
      </c>
    </row>
    <row r="40" spans="1:13" ht="57" x14ac:dyDescent="0.2">
      <c r="A40" s="231" t="s">
        <v>1053</v>
      </c>
      <c r="B40" s="33"/>
      <c r="C40" s="33"/>
      <c r="F40" s="68" t="str">
        <f>'G-1 All Habitats'!B39</f>
        <v>Lakes - Aquifer fed naturally fluctuating water bodies</v>
      </c>
      <c r="G40" s="404">
        <v>30</v>
      </c>
      <c r="H40" s="404">
        <v>20</v>
      </c>
      <c r="I40" s="404">
        <v>15</v>
      </c>
      <c r="J40" s="404">
        <v>10</v>
      </c>
      <c r="K40" s="404">
        <v>1</v>
      </c>
      <c r="L40" s="404" t="s">
        <v>1051</v>
      </c>
      <c r="M40" s="404" t="s">
        <v>1051</v>
      </c>
    </row>
    <row r="41" spans="1:13" x14ac:dyDescent="0.2">
      <c r="A41" s="78" t="s">
        <v>1048</v>
      </c>
      <c r="B41" s="33"/>
      <c r="C41" s="33"/>
      <c r="F41" s="68" t="str">
        <f>'G-1 All Habitats'!B41</f>
        <v>Lakes - High alkalinity lakes</v>
      </c>
      <c r="G41" s="404">
        <v>30</v>
      </c>
      <c r="H41" s="404">
        <v>20</v>
      </c>
      <c r="I41" s="404">
        <v>10</v>
      </c>
      <c r="J41" s="404">
        <v>7</v>
      </c>
      <c r="K41" s="404">
        <v>5</v>
      </c>
      <c r="L41" s="404" t="s">
        <v>1051</v>
      </c>
      <c r="M41" s="404" t="s">
        <v>1051</v>
      </c>
    </row>
    <row r="42" spans="1:13" x14ac:dyDescent="0.2">
      <c r="A42" s="404">
        <v>0</v>
      </c>
      <c r="B42" s="33"/>
      <c r="C42" s="33"/>
      <c r="F42" s="68" t="str">
        <f>'G-1 All Habitats'!B42</f>
        <v>Lakes - Low alkalinity lakes</v>
      </c>
      <c r="G42" s="404">
        <v>30</v>
      </c>
      <c r="H42" s="404">
        <v>20</v>
      </c>
      <c r="I42" s="404">
        <v>10</v>
      </c>
      <c r="J42" s="404">
        <v>7</v>
      </c>
      <c r="K42" s="404">
        <v>5</v>
      </c>
      <c r="L42" s="404" t="s">
        <v>1051</v>
      </c>
      <c r="M42" s="404" t="s">
        <v>1051</v>
      </c>
    </row>
    <row r="43" spans="1:13" x14ac:dyDescent="0.2">
      <c r="A43" s="404">
        <v>1</v>
      </c>
      <c r="B43" s="33"/>
      <c r="C43" s="33"/>
      <c r="F43" s="68" t="str">
        <f>'G-1 All Habitats'!B43</f>
        <v>Lakes - Marl lakes</v>
      </c>
      <c r="G43" s="404">
        <v>30</v>
      </c>
      <c r="H43" s="404">
        <v>20</v>
      </c>
      <c r="I43" s="404">
        <v>10</v>
      </c>
      <c r="J43" s="404">
        <v>7</v>
      </c>
      <c r="K43" s="404">
        <v>5</v>
      </c>
      <c r="L43" s="404" t="s">
        <v>1051</v>
      </c>
      <c r="M43" s="404" t="s">
        <v>1051</v>
      </c>
    </row>
    <row r="44" spans="1:13" x14ac:dyDescent="0.2">
      <c r="A44" s="404">
        <v>2</v>
      </c>
      <c r="B44" s="33"/>
      <c r="C44" s="33"/>
      <c r="F44" s="68" t="str">
        <f>'G-1 All Habitats'!B44</f>
        <v>Lakes - Moderate alkalinity lakes</v>
      </c>
      <c r="G44" s="404">
        <v>30</v>
      </c>
      <c r="H44" s="404">
        <v>20</v>
      </c>
      <c r="I44" s="404">
        <v>10</v>
      </c>
      <c r="J44" s="404">
        <v>7</v>
      </c>
      <c r="K44" s="404">
        <v>5</v>
      </c>
      <c r="L44" s="404" t="s">
        <v>1051</v>
      </c>
      <c r="M44" s="404" t="s">
        <v>1051</v>
      </c>
    </row>
    <row r="45" spans="1:13" x14ac:dyDescent="0.2">
      <c r="A45" s="404">
        <v>3</v>
      </c>
      <c r="B45" s="33"/>
      <c r="C45" s="33"/>
      <c r="F45" s="68" t="str">
        <f>'G-1 All Habitats'!B45</f>
        <v>Lakes - Peat lakes</v>
      </c>
      <c r="G45" s="404">
        <v>30</v>
      </c>
      <c r="H45" s="404">
        <v>20</v>
      </c>
      <c r="I45" s="404">
        <v>10</v>
      </c>
      <c r="J45" s="404">
        <v>7</v>
      </c>
      <c r="K45" s="404">
        <v>5</v>
      </c>
      <c r="L45" s="404" t="s">
        <v>1051</v>
      </c>
      <c r="M45" s="404" t="s">
        <v>1051</v>
      </c>
    </row>
    <row r="46" spans="1:13" x14ac:dyDescent="0.2">
      <c r="A46" s="404">
        <v>4</v>
      </c>
      <c r="B46" s="33"/>
      <c r="C46" s="33"/>
      <c r="F46" s="68" t="str">
        <f>'G-1 All Habitats'!B46</f>
        <v>Lakes - Ponds (priority habitat)</v>
      </c>
      <c r="G46" s="404">
        <v>5</v>
      </c>
      <c r="H46" s="404">
        <v>4</v>
      </c>
      <c r="I46" s="404">
        <v>3</v>
      </c>
      <c r="J46" s="404">
        <v>2</v>
      </c>
      <c r="K46" s="404">
        <v>1</v>
      </c>
      <c r="L46" s="404" t="s">
        <v>1051</v>
      </c>
      <c r="M46" s="404" t="s">
        <v>1051</v>
      </c>
    </row>
    <row r="47" spans="1:13" x14ac:dyDescent="0.2">
      <c r="A47" s="404">
        <v>5</v>
      </c>
      <c r="B47" s="33"/>
      <c r="C47" s="33"/>
      <c r="F47" s="68" t="str">
        <f>'G-1 All Habitats'!B47</f>
        <v>Lakes - Ponds (non-priority habitat)</v>
      </c>
      <c r="G47" s="404">
        <v>5</v>
      </c>
      <c r="H47" s="404">
        <v>4</v>
      </c>
      <c r="I47" s="404">
        <v>3</v>
      </c>
      <c r="J47" s="404">
        <v>2</v>
      </c>
      <c r="K47" s="404">
        <v>1</v>
      </c>
      <c r="L47" s="404" t="s">
        <v>1051</v>
      </c>
      <c r="M47" s="404" t="s">
        <v>1051</v>
      </c>
    </row>
    <row r="48" spans="1:13" x14ac:dyDescent="0.2">
      <c r="A48" s="404">
        <v>6</v>
      </c>
      <c r="B48" s="33"/>
      <c r="C48" s="33"/>
      <c r="F48" s="68" t="str">
        <f>'G-1 All Habitats'!B48</f>
        <v>Lakes - Reservoirs</v>
      </c>
      <c r="G48" s="404">
        <v>10</v>
      </c>
      <c r="H48" s="404">
        <v>7</v>
      </c>
      <c r="I48" s="404">
        <v>5</v>
      </c>
      <c r="J48" s="404">
        <v>3</v>
      </c>
      <c r="K48" s="404">
        <v>1</v>
      </c>
      <c r="L48" s="404" t="s">
        <v>1051</v>
      </c>
      <c r="M48" s="404" t="s">
        <v>1051</v>
      </c>
    </row>
    <row r="49" spans="1:13" x14ac:dyDescent="0.2">
      <c r="A49" s="404">
        <v>7</v>
      </c>
      <c r="B49" s="33"/>
      <c r="C49" s="33"/>
      <c r="F49" s="68" t="str">
        <f>'G-1 All Habitats'!B49</f>
        <v>Lakes - Temporary lakes ponds and pools (H3170)</v>
      </c>
      <c r="G49" s="404">
        <v>5</v>
      </c>
      <c r="H49" s="404">
        <v>4</v>
      </c>
      <c r="I49" s="404">
        <v>3</v>
      </c>
      <c r="J49" s="404">
        <v>2</v>
      </c>
      <c r="K49" s="404">
        <v>1</v>
      </c>
      <c r="L49" s="404" t="s">
        <v>1051</v>
      </c>
      <c r="M49" s="404" t="s">
        <v>1051</v>
      </c>
    </row>
    <row r="50" spans="1:13" x14ac:dyDescent="0.2">
      <c r="A50" s="404">
        <v>8</v>
      </c>
      <c r="B50" s="33"/>
      <c r="C50" s="33"/>
      <c r="F50" s="68" t="str">
        <f>'G-1 All Habitats'!B50</f>
        <v>Sparsely vegetated land - Calaminarian grasslands</v>
      </c>
      <c r="G50" s="404">
        <v>10</v>
      </c>
      <c r="H50" s="404">
        <v>7</v>
      </c>
      <c r="I50" s="404">
        <v>5</v>
      </c>
      <c r="J50" s="404">
        <v>3</v>
      </c>
      <c r="K50" s="404">
        <v>2</v>
      </c>
      <c r="L50" s="404" t="s">
        <v>1051</v>
      </c>
      <c r="M50" s="404" t="s">
        <v>1051</v>
      </c>
    </row>
    <row r="51" spans="1:13" x14ac:dyDescent="0.2">
      <c r="A51" s="404">
        <v>9</v>
      </c>
      <c r="B51" s="33"/>
      <c r="C51" s="33"/>
      <c r="F51" s="68" t="str">
        <f>'G-1 All Habitats'!B51</f>
        <v>Sparsely vegetated land - Coastal sand dunes</v>
      </c>
      <c r="G51" s="404">
        <v>20</v>
      </c>
      <c r="H51" s="404">
        <v>15</v>
      </c>
      <c r="I51" s="404">
        <v>10</v>
      </c>
      <c r="J51" s="404">
        <v>7</v>
      </c>
      <c r="K51" s="404">
        <v>5</v>
      </c>
      <c r="L51" s="404" t="s">
        <v>1051</v>
      </c>
      <c r="M51" s="404" t="s">
        <v>1051</v>
      </c>
    </row>
    <row r="52" spans="1:13" x14ac:dyDescent="0.2">
      <c r="A52" s="404">
        <v>10</v>
      </c>
      <c r="B52" s="33"/>
      <c r="C52" s="33"/>
      <c r="F52" s="68" t="str">
        <f>'G-1 All Habitats'!B52</f>
        <v>Sparsely vegetated land - Coastal vegetated shingle</v>
      </c>
      <c r="G52" s="404">
        <v>20</v>
      </c>
      <c r="H52" s="404">
        <v>15</v>
      </c>
      <c r="I52" s="404">
        <v>10</v>
      </c>
      <c r="J52" s="404">
        <v>7</v>
      </c>
      <c r="K52" s="404">
        <v>5</v>
      </c>
      <c r="L52" s="404" t="s">
        <v>1051</v>
      </c>
      <c r="M52" s="404" t="s">
        <v>1051</v>
      </c>
    </row>
    <row r="53" spans="1:13" x14ac:dyDescent="0.2">
      <c r="A53" s="404">
        <v>11</v>
      </c>
      <c r="B53" s="33"/>
      <c r="C53" s="33"/>
      <c r="F53" s="68" t="str">
        <f>'G-1 All Habitats'!B53</f>
        <v>Sparsely vegetated land - Ruderal/Ephemeral</v>
      </c>
      <c r="G53" s="404">
        <v>5</v>
      </c>
      <c r="H53" s="404">
        <v>4</v>
      </c>
      <c r="I53" s="404">
        <v>3</v>
      </c>
      <c r="J53" s="404">
        <v>2</v>
      </c>
      <c r="K53" s="404">
        <v>1</v>
      </c>
      <c r="L53" s="404" t="s">
        <v>1051</v>
      </c>
      <c r="M53" s="404" t="s">
        <v>1051</v>
      </c>
    </row>
    <row r="54" spans="1:13" x14ac:dyDescent="0.2">
      <c r="A54" s="404">
        <v>12</v>
      </c>
      <c r="B54" s="33"/>
      <c r="C54" s="33"/>
      <c r="F54" s="68" t="s">
        <v>667</v>
      </c>
      <c r="G54" s="404">
        <v>5</v>
      </c>
      <c r="H54" s="404">
        <v>4</v>
      </c>
      <c r="I54" s="404">
        <v>3</v>
      </c>
      <c r="J54" s="404">
        <v>2</v>
      </c>
      <c r="K54" s="404">
        <v>1</v>
      </c>
      <c r="L54" s="404" t="s">
        <v>1051</v>
      </c>
      <c r="M54" s="404" t="s">
        <v>1051</v>
      </c>
    </row>
    <row r="55" spans="1:13" x14ac:dyDescent="0.2">
      <c r="A55" s="404">
        <v>13</v>
      </c>
      <c r="B55" s="33"/>
      <c r="C55" s="33"/>
      <c r="F55" s="68" t="str">
        <f>'G-1 All Habitats'!B55</f>
        <v>Sparsely vegetated land - Inland rock outcrop and scree habitats</v>
      </c>
      <c r="G55" s="404" t="s">
        <v>1052</v>
      </c>
      <c r="H55" s="404">
        <v>25</v>
      </c>
      <c r="I55" s="404">
        <v>20</v>
      </c>
      <c r="J55" s="404">
        <v>15</v>
      </c>
      <c r="K55" s="404">
        <v>10</v>
      </c>
      <c r="L55" s="404" t="s">
        <v>1051</v>
      </c>
      <c r="M55" s="404" t="s">
        <v>1051</v>
      </c>
    </row>
    <row r="56" spans="1:13" x14ac:dyDescent="0.2">
      <c r="A56" s="404">
        <v>14</v>
      </c>
      <c r="B56" s="33"/>
      <c r="C56" s="33"/>
      <c r="F56" s="68" t="str">
        <f>'G-1 All Habitats'!B56</f>
        <v>Sparsely vegetated land - Limestone pavement</v>
      </c>
      <c r="G56" s="404" t="s">
        <v>1052</v>
      </c>
      <c r="H56" s="404" t="s">
        <v>1052</v>
      </c>
      <c r="I56" s="404" t="s">
        <v>1052</v>
      </c>
      <c r="J56" s="404" t="s">
        <v>1052</v>
      </c>
      <c r="K56" s="404" t="s">
        <v>1052</v>
      </c>
      <c r="L56" s="404" t="s">
        <v>1051</v>
      </c>
      <c r="M56" s="404" t="s">
        <v>1051</v>
      </c>
    </row>
    <row r="57" spans="1:13" x14ac:dyDescent="0.2">
      <c r="A57" s="404">
        <v>15</v>
      </c>
      <c r="B57" s="33"/>
      <c r="C57" s="33"/>
      <c r="F57" s="68" t="str">
        <f>'G-1 All Habitats'!B57</f>
        <v>Sparsely vegetated land - Maritime cliff and slopes</v>
      </c>
      <c r="G57" s="404">
        <v>20</v>
      </c>
      <c r="H57" s="404">
        <v>15</v>
      </c>
      <c r="I57" s="404">
        <v>10</v>
      </c>
      <c r="J57" s="404">
        <v>7</v>
      </c>
      <c r="K57" s="404">
        <v>5</v>
      </c>
      <c r="L57" s="404" t="s">
        <v>1051</v>
      </c>
      <c r="M57" s="404" t="s">
        <v>1051</v>
      </c>
    </row>
    <row r="58" spans="1:13" x14ac:dyDescent="0.2">
      <c r="A58" s="404">
        <v>16</v>
      </c>
      <c r="B58" s="33"/>
      <c r="C58" s="33"/>
      <c r="F58" s="68" t="str">
        <f>'G-1 All Habitats'!B58</f>
        <v>Sparsely vegetated land - Other inland rock and scree</v>
      </c>
      <c r="G58" s="404">
        <v>20</v>
      </c>
      <c r="H58" s="404">
        <v>15</v>
      </c>
      <c r="I58" s="404">
        <v>10</v>
      </c>
      <c r="J58" s="404">
        <v>7</v>
      </c>
      <c r="K58" s="404">
        <v>5</v>
      </c>
      <c r="L58" s="404" t="s">
        <v>1051</v>
      </c>
      <c r="M58" s="404" t="s">
        <v>1051</v>
      </c>
    </row>
    <row r="59" spans="1:13" x14ac:dyDescent="0.2">
      <c r="A59" s="404">
        <v>17</v>
      </c>
      <c r="B59" s="33"/>
      <c r="C59" s="33"/>
      <c r="F59" s="68" t="str">
        <f>'G-1 All Habitats'!B59</f>
        <v>Urban - Allotments</v>
      </c>
      <c r="G59" s="404">
        <v>1</v>
      </c>
      <c r="H59" s="404">
        <v>1</v>
      </c>
      <c r="I59" s="404">
        <v>1</v>
      </c>
      <c r="J59" s="404">
        <v>1</v>
      </c>
      <c r="K59" s="404">
        <v>1</v>
      </c>
      <c r="L59" s="404" t="s">
        <v>1051</v>
      </c>
      <c r="M59" s="404" t="s">
        <v>1051</v>
      </c>
    </row>
    <row r="60" spans="1:13" x14ac:dyDescent="0.2">
      <c r="A60" s="404">
        <v>18</v>
      </c>
      <c r="B60" s="33"/>
      <c r="C60" s="33"/>
      <c r="F60" s="68" t="str">
        <f>'G-1 All Habitats'!B40</f>
        <v>Lakes - Ornamental lake or pond</v>
      </c>
      <c r="G60" s="404">
        <v>5</v>
      </c>
      <c r="H60" s="404">
        <v>4</v>
      </c>
      <c r="I60" s="404">
        <v>3</v>
      </c>
      <c r="J60" s="404">
        <v>2</v>
      </c>
      <c r="K60" s="404">
        <v>1</v>
      </c>
      <c r="L60" s="404" t="s">
        <v>1051</v>
      </c>
      <c r="M60" s="404" t="s">
        <v>1051</v>
      </c>
    </row>
    <row r="61" spans="1:13" x14ac:dyDescent="0.2">
      <c r="A61" s="404">
        <v>19</v>
      </c>
      <c r="B61" s="33"/>
      <c r="C61" s="33"/>
      <c r="F61" s="68" t="str">
        <f>'G-1 All Habitats'!B60</f>
        <v>Urban - Artificial unvegetated, unsealed surface</v>
      </c>
      <c r="G61" s="404" t="s">
        <v>1051</v>
      </c>
      <c r="H61" s="404" t="s">
        <v>1051</v>
      </c>
      <c r="I61" s="404" t="s">
        <v>1051</v>
      </c>
      <c r="J61" s="404" t="s">
        <v>1051</v>
      </c>
      <c r="K61" s="404" t="s">
        <v>1051</v>
      </c>
      <c r="L61" s="404" t="s">
        <v>1051</v>
      </c>
      <c r="M61" s="404">
        <v>0</v>
      </c>
    </row>
    <row r="62" spans="1:13" x14ac:dyDescent="0.2">
      <c r="A62" s="404">
        <v>20</v>
      </c>
      <c r="B62" s="33"/>
      <c r="C62" s="33"/>
      <c r="F62" s="68" t="str">
        <f>'G-1 All Habitats'!B61</f>
        <v>Urban - Bioswale</v>
      </c>
      <c r="G62" s="404">
        <v>3</v>
      </c>
      <c r="H62" s="404">
        <v>2</v>
      </c>
      <c r="I62" s="404">
        <v>1</v>
      </c>
      <c r="J62" s="404">
        <v>1</v>
      </c>
      <c r="K62" s="404">
        <v>1</v>
      </c>
      <c r="L62" s="404" t="s">
        <v>1051</v>
      </c>
      <c r="M62" s="404" t="s">
        <v>1051</v>
      </c>
    </row>
    <row r="63" spans="1:13" x14ac:dyDescent="0.2">
      <c r="A63" s="404">
        <v>21</v>
      </c>
      <c r="B63" s="33"/>
      <c r="C63" s="33"/>
      <c r="F63" s="68" t="str">
        <f>'G-1 All Habitats'!B62</f>
        <v>Urban - Intensive green roof</v>
      </c>
      <c r="G63" s="404">
        <v>5</v>
      </c>
      <c r="H63" s="404">
        <v>4</v>
      </c>
      <c r="I63" s="404">
        <v>3</v>
      </c>
      <c r="J63" s="404">
        <v>2</v>
      </c>
      <c r="K63" s="404">
        <v>1</v>
      </c>
      <c r="L63" s="404" t="s">
        <v>1051</v>
      </c>
      <c r="M63" s="404" t="s">
        <v>1051</v>
      </c>
    </row>
    <row r="64" spans="1:13" x14ac:dyDescent="0.2">
      <c r="A64" s="404">
        <v>22</v>
      </c>
      <c r="B64" s="33"/>
      <c r="C64" s="33"/>
      <c r="F64" s="68" t="str">
        <f>'G-1 All Habitats'!B63</f>
        <v>Urban - Built linear features</v>
      </c>
      <c r="G64" s="404" t="s">
        <v>1051</v>
      </c>
      <c r="H64" s="404" t="s">
        <v>1051</v>
      </c>
      <c r="I64" s="404" t="s">
        <v>1051</v>
      </c>
      <c r="J64" s="404" t="s">
        <v>1051</v>
      </c>
      <c r="K64" s="404" t="s">
        <v>1051</v>
      </c>
      <c r="L64" s="404" t="s">
        <v>1051</v>
      </c>
      <c r="M64" s="404">
        <v>0</v>
      </c>
    </row>
    <row r="65" spans="1:13" x14ac:dyDescent="0.2">
      <c r="A65" s="404">
        <v>23</v>
      </c>
      <c r="B65" s="33"/>
      <c r="C65" s="33"/>
      <c r="F65" s="68" t="str">
        <f>'G-1 All Habitats'!B64</f>
        <v>Urban - Cemeteries and churchyards</v>
      </c>
      <c r="G65" s="404">
        <v>20</v>
      </c>
      <c r="H65" s="404">
        <v>17</v>
      </c>
      <c r="I65" s="404">
        <v>15</v>
      </c>
      <c r="J65" s="404">
        <v>12</v>
      </c>
      <c r="K65" s="404">
        <v>10</v>
      </c>
      <c r="L65" s="404" t="s">
        <v>1051</v>
      </c>
      <c r="M65" s="404" t="s">
        <v>1051</v>
      </c>
    </row>
    <row r="66" spans="1:13" x14ac:dyDescent="0.2">
      <c r="A66" s="404">
        <v>24</v>
      </c>
      <c r="B66" s="33"/>
      <c r="C66" s="33"/>
      <c r="F66" s="68" t="str">
        <f>'G-1 All Habitats'!B65</f>
        <v>Urban - Developed land; sealed surface</v>
      </c>
      <c r="G66" s="404" t="s">
        <v>1051</v>
      </c>
      <c r="H66" s="404" t="s">
        <v>1051</v>
      </c>
      <c r="I66" s="404" t="s">
        <v>1051</v>
      </c>
      <c r="J66" s="404" t="s">
        <v>1051</v>
      </c>
      <c r="K66" s="404" t="s">
        <v>1051</v>
      </c>
      <c r="L66" s="404" t="s">
        <v>1051</v>
      </c>
      <c r="M66" s="404">
        <v>0</v>
      </c>
    </row>
    <row r="67" spans="1:13" x14ac:dyDescent="0.2">
      <c r="A67" s="404">
        <v>25</v>
      </c>
      <c r="B67" s="33"/>
      <c r="C67" s="33"/>
      <c r="F67" s="68" t="str">
        <f>'G-1 All Habitats'!B66</f>
        <v>Urban - Other green roof</v>
      </c>
      <c r="G67" s="404" t="s">
        <v>1051</v>
      </c>
      <c r="H67" s="404" t="s">
        <v>1051</v>
      </c>
      <c r="I67" s="404" t="s">
        <v>1051</v>
      </c>
      <c r="J67" s="404" t="s">
        <v>1051</v>
      </c>
      <c r="K67" s="404" t="s">
        <v>1051</v>
      </c>
      <c r="L67" s="404">
        <v>1</v>
      </c>
      <c r="M67" s="404" t="s">
        <v>1051</v>
      </c>
    </row>
    <row r="68" spans="1:13" x14ac:dyDescent="0.2">
      <c r="A68" s="404">
        <v>26</v>
      </c>
      <c r="B68" s="33"/>
      <c r="C68" s="33"/>
      <c r="F68" s="68" t="str">
        <f>'G-1 All Habitats'!B67</f>
        <v>Urban - Facade-bound green wall</v>
      </c>
      <c r="G68" s="404">
        <v>5</v>
      </c>
      <c r="H68" s="404">
        <v>4</v>
      </c>
      <c r="I68" s="404">
        <v>3</v>
      </c>
      <c r="J68" s="404">
        <v>2</v>
      </c>
      <c r="K68" s="404">
        <v>1</v>
      </c>
      <c r="L68" s="404" t="s">
        <v>1051</v>
      </c>
      <c r="M68" s="404" t="s">
        <v>1051</v>
      </c>
    </row>
    <row r="69" spans="1:13" x14ac:dyDescent="0.2">
      <c r="A69" s="404">
        <v>27</v>
      </c>
      <c r="B69" s="33"/>
      <c r="C69" s="33"/>
      <c r="F69" s="68" t="str">
        <f>'G-1 All Habitats'!B68</f>
        <v>Urban - Ground based green wall</v>
      </c>
      <c r="G69" s="404">
        <v>5</v>
      </c>
      <c r="H69" s="404">
        <v>4</v>
      </c>
      <c r="I69" s="404">
        <v>3</v>
      </c>
      <c r="J69" s="404">
        <v>2</v>
      </c>
      <c r="K69" s="404">
        <v>1</v>
      </c>
      <c r="L69" s="404" t="s">
        <v>1051</v>
      </c>
      <c r="M69" s="404" t="s">
        <v>1051</v>
      </c>
    </row>
    <row r="70" spans="1:13" x14ac:dyDescent="0.2">
      <c r="A70" s="404">
        <v>28</v>
      </c>
      <c r="B70" s="33"/>
      <c r="C70" s="33"/>
      <c r="F70" s="68" t="str">
        <f>'G-1 All Habitats'!B69</f>
        <v>Urban - Ground level planters</v>
      </c>
      <c r="G70" s="404" t="s">
        <v>1051</v>
      </c>
      <c r="H70" s="404" t="s">
        <v>1051</v>
      </c>
      <c r="I70" s="404" t="s">
        <v>1051</v>
      </c>
      <c r="J70" s="404" t="s">
        <v>1051</v>
      </c>
      <c r="K70" s="404" t="s">
        <v>1051</v>
      </c>
      <c r="L70" s="404">
        <v>1</v>
      </c>
      <c r="M70" s="404" t="s">
        <v>1051</v>
      </c>
    </row>
    <row r="71" spans="1:13" x14ac:dyDescent="0.2">
      <c r="A71" s="404">
        <v>29</v>
      </c>
      <c r="B71" s="33"/>
      <c r="C71" s="33"/>
      <c r="F71" s="68" t="str">
        <f>'G-1 All Habitats'!B70</f>
        <v>Urban - Biodiverse green roof</v>
      </c>
      <c r="G71" s="404">
        <v>10</v>
      </c>
      <c r="H71" s="404">
        <v>8</v>
      </c>
      <c r="I71" s="404">
        <v>5</v>
      </c>
      <c r="J71" s="404">
        <v>3</v>
      </c>
      <c r="K71" s="404">
        <v>1</v>
      </c>
      <c r="L71" s="404" t="s">
        <v>1051</v>
      </c>
      <c r="M71" s="404" t="s">
        <v>1051</v>
      </c>
    </row>
    <row r="72" spans="1:13" x14ac:dyDescent="0.2">
      <c r="A72" s="404">
        <v>30</v>
      </c>
      <c r="B72" s="33"/>
      <c r="C72" s="33"/>
      <c r="F72" s="68" t="str">
        <f>'G-1 All Habitats'!B71</f>
        <v>Urban - Introduced shrub</v>
      </c>
      <c r="G72" s="404" t="s">
        <v>1051</v>
      </c>
      <c r="H72" s="404" t="s">
        <v>1051</v>
      </c>
      <c r="I72" s="404" t="s">
        <v>1051</v>
      </c>
      <c r="J72" s="404" t="s">
        <v>1051</v>
      </c>
      <c r="K72" s="404" t="s">
        <v>1051</v>
      </c>
      <c r="L72" s="404">
        <v>1</v>
      </c>
      <c r="M72" s="404" t="s">
        <v>1051</v>
      </c>
    </row>
    <row r="73" spans="1:13" x14ac:dyDescent="0.2">
      <c r="A73" s="404" t="s">
        <v>1052</v>
      </c>
      <c r="B73" s="33"/>
      <c r="C73" s="33"/>
      <c r="F73" s="68" t="str">
        <f>'G-1 All Habitats'!B72</f>
        <v>Urban - Open mosaic habitats on previously developed land</v>
      </c>
      <c r="G73" s="404">
        <v>10</v>
      </c>
      <c r="H73" s="404">
        <v>7</v>
      </c>
      <c r="I73" s="404">
        <v>4</v>
      </c>
      <c r="J73" s="404">
        <v>2</v>
      </c>
      <c r="K73" s="404">
        <v>0</v>
      </c>
      <c r="L73" s="404" t="s">
        <v>1051</v>
      </c>
      <c r="M73" s="404" t="s">
        <v>1051</v>
      </c>
    </row>
    <row r="74" spans="1:13" x14ac:dyDescent="0.2">
      <c r="B74" s="33"/>
      <c r="C74" s="33"/>
      <c r="F74" s="68" t="str">
        <f>'G-1 All Habitats'!B73</f>
        <v>Urban - Rain garden</v>
      </c>
      <c r="G74" s="404">
        <v>5</v>
      </c>
      <c r="H74" s="404">
        <v>4</v>
      </c>
      <c r="I74" s="404">
        <v>3</v>
      </c>
      <c r="J74" s="404">
        <v>2</v>
      </c>
      <c r="K74" s="404">
        <v>1</v>
      </c>
      <c r="L74" s="404" t="s">
        <v>1051</v>
      </c>
      <c r="M74" s="404" t="s">
        <v>1051</v>
      </c>
    </row>
    <row r="75" spans="1:13" x14ac:dyDescent="0.2">
      <c r="A75" s="33"/>
      <c r="B75" s="33"/>
      <c r="C75" s="33"/>
      <c r="F75" s="68" t="str">
        <f>'G-1 All Habitats'!B74</f>
        <v>Urban - Actively worked sand pit quarry or open cast mine</v>
      </c>
      <c r="G75" s="404" t="s">
        <v>1051</v>
      </c>
      <c r="H75" s="404" t="s">
        <v>1051</v>
      </c>
      <c r="I75" s="404" t="s">
        <v>1051</v>
      </c>
      <c r="J75" s="404" t="s">
        <v>1051</v>
      </c>
      <c r="K75" s="404" t="s">
        <v>1051</v>
      </c>
      <c r="L75" s="404">
        <v>1</v>
      </c>
      <c r="M75" s="404" t="s">
        <v>1051</v>
      </c>
    </row>
    <row r="76" spans="1:13" x14ac:dyDescent="0.2">
      <c r="A76" s="33"/>
      <c r="B76" s="33"/>
      <c r="C76" s="33"/>
      <c r="F76" s="68" t="str">
        <f>'G-1 All Habitats'!B80</f>
        <v>Individual trees - Urban tree</v>
      </c>
      <c r="G76" s="404" t="s">
        <v>1052</v>
      </c>
      <c r="H76" s="404" t="s">
        <v>1052</v>
      </c>
      <c r="I76" s="404">
        <v>27</v>
      </c>
      <c r="J76" s="404">
        <v>19</v>
      </c>
      <c r="K76" s="404">
        <v>10</v>
      </c>
      <c r="L76" s="404" t="s">
        <v>1051</v>
      </c>
      <c r="M76" s="404" t="s">
        <v>1051</v>
      </c>
    </row>
    <row r="77" spans="1:13" x14ac:dyDescent="0.2">
      <c r="A77" s="33"/>
      <c r="B77" s="33"/>
      <c r="C77" s="33"/>
      <c r="F77" s="68" t="str">
        <f>'G-1 All Habitats'!B75</f>
        <v>Urban - Sustainable drainage system</v>
      </c>
      <c r="G77" s="404">
        <v>5</v>
      </c>
      <c r="H77" s="404">
        <v>4</v>
      </c>
      <c r="I77" s="404">
        <v>3</v>
      </c>
      <c r="J77" s="404">
        <v>2</v>
      </c>
      <c r="K77" s="404">
        <v>1</v>
      </c>
      <c r="L77" s="404" t="s">
        <v>1051</v>
      </c>
      <c r="M77" s="404" t="s">
        <v>1051</v>
      </c>
    </row>
    <row r="78" spans="1:13" x14ac:dyDescent="0.2">
      <c r="A78" s="33"/>
      <c r="B78" s="33"/>
      <c r="C78" s="33"/>
      <c r="F78" s="68" t="str">
        <f>'G-1 All Habitats'!B76</f>
        <v>Urban - Unvegetated garden</v>
      </c>
      <c r="G78" s="404" t="s">
        <v>1051</v>
      </c>
      <c r="H78" s="404" t="s">
        <v>1051</v>
      </c>
      <c r="I78" s="404" t="s">
        <v>1051</v>
      </c>
      <c r="J78" s="404" t="s">
        <v>1051</v>
      </c>
      <c r="K78" s="404" t="s">
        <v>1051</v>
      </c>
      <c r="L78" s="404" t="s">
        <v>1051</v>
      </c>
      <c r="M78" s="404">
        <v>0</v>
      </c>
    </row>
    <row r="79" spans="1:13" x14ac:dyDescent="0.2">
      <c r="A79" s="33"/>
      <c r="B79" s="33"/>
      <c r="C79" s="33"/>
      <c r="F79" s="68" t="str">
        <f>'G-1 All Habitats'!B77</f>
        <v>Urban - Vacant or derelict land</v>
      </c>
      <c r="G79" s="404">
        <v>5</v>
      </c>
      <c r="H79" s="404">
        <v>4</v>
      </c>
      <c r="I79" s="404">
        <v>3</v>
      </c>
      <c r="J79" s="404">
        <v>2</v>
      </c>
      <c r="K79" s="404">
        <v>1</v>
      </c>
      <c r="L79" s="404" t="s">
        <v>1051</v>
      </c>
      <c r="M79" s="404" t="s">
        <v>1051</v>
      </c>
    </row>
    <row r="80" spans="1:13" x14ac:dyDescent="0.2">
      <c r="A80" s="33"/>
      <c r="B80" s="33"/>
      <c r="C80" s="33"/>
      <c r="F80" s="68" t="s">
        <v>738</v>
      </c>
      <c r="G80" s="404">
        <v>5</v>
      </c>
      <c r="H80" s="404">
        <v>4</v>
      </c>
      <c r="I80" s="404">
        <v>3</v>
      </c>
      <c r="J80" s="404">
        <v>2</v>
      </c>
      <c r="K80" s="404">
        <v>1</v>
      </c>
      <c r="L80" s="404" t="s">
        <v>1051</v>
      </c>
      <c r="M80" s="404" t="s">
        <v>1051</v>
      </c>
    </row>
    <row r="81" spans="1:13" x14ac:dyDescent="0.2">
      <c r="A81" s="33"/>
      <c r="B81" s="33"/>
      <c r="C81" s="33"/>
      <c r="F81" s="68" t="str">
        <f>'G-1 All Habitats'!B79</f>
        <v>Urban - Vegetated garden</v>
      </c>
      <c r="G81" s="404" t="s">
        <v>1051</v>
      </c>
      <c r="H81" s="404" t="s">
        <v>1051</v>
      </c>
      <c r="I81" s="404" t="s">
        <v>1051</v>
      </c>
      <c r="J81" s="404" t="s">
        <v>1051</v>
      </c>
      <c r="K81" s="404" t="s">
        <v>1051</v>
      </c>
      <c r="L81" s="404">
        <v>1</v>
      </c>
      <c r="M81" s="404" t="s">
        <v>1051</v>
      </c>
    </row>
    <row r="82" spans="1:13" x14ac:dyDescent="0.2">
      <c r="A82" s="33"/>
      <c r="B82" s="33"/>
      <c r="C82" s="33"/>
      <c r="F82" s="68" t="str">
        <f>'G-1 All Habitats'!B82</f>
        <v>Wetland - Blanket bog</v>
      </c>
      <c r="G82" s="404" t="s">
        <v>1052</v>
      </c>
      <c r="H82" s="404" t="s">
        <v>1052</v>
      </c>
      <c r="I82" s="404" t="s">
        <v>1052</v>
      </c>
      <c r="J82" s="404" t="s">
        <v>1052</v>
      </c>
      <c r="K82" s="404" t="s">
        <v>1052</v>
      </c>
      <c r="L82" s="404" t="s">
        <v>1051</v>
      </c>
      <c r="M82" s="404" t="s">
        <v>1051</v>
      </c>
    </row>
    <row r="83" spans="1:13" x14ac:dyDescent="0.2">
      <c r="A83" s="33"/>
      <c r="B83" s="33"/>
      <c r="C83" s="33"/>
      <c r="F83" s="68" t="str">
        <f>'G-1 All Habitats'!B83</f>
        <v>Wetland - Depressions on peat substrates (H7150)</v>
      </c>
      <c r="G83" s="404" t="s">
        <v>1052</v>
      </c>
      <c r="H83" s="404" t="s">
        <v>1052</v>
      </c>
      <c r="I83" s="404">
        <v>30</v>
      </c>
      <c r="J83" s="404">
        <v>25</v>
      </c>
      <c r="K83" s="404">
        <v>15</v>
      </c>
      <c r="L83" s="404" t="s">
        <v>1051</v>
      </c>
      <c r="M83" s="404" t="s">
        <v>1051</v>
      </c>
    </row>
    <row r="84" spans="1:13" x14ac:dyDescent="0.2">
      <c r="A84" s="33"/>
      <c r="B84" s="33"/>
      <c r="C84" s="33"/>
      <c r="F84" s="68" t="str">
        <f>'G-1 All Habitats'!B84</f>
        <v>Wetland - Fens (upland and lowland)</v>
      </c>
      <c r="G84" s="404">
        <v>30</v>
      </c>
      <c r="H84" s="404">
        <v>25</v>
      </c>
      <c r="I84" s="404">
        <v>20</v>
      </c>
      <c r="J84" s="404">
        <v>15</v>
      </c>
      <c r="K84" s="404">
        <v>10</v>
      </c>
      <c r="L84" s="404" t="s">
        <v>1051</v>
      </c>
      <c r="M84" s="404" t="s">
        <v>1051</v>
      </c>
    </row>
    <row r="85" spans="1:13" x14ac:dyDescent="0.2">
      <c r="A85" s="33"/>
      <c r="B85" s="33"/>
      <c r="C85" s="33"/>
      <c r="F85" s="68" t="str">
        <f>'G-1 All Habitats'!B85</f>
        <v>Wetland - Lowland raised bog</v>
      </c>
      <c r="G85" s="404" t="s">
        <v>1052</v>
      </c>
      <c r="H85" s="404" t="s">
        <v>1052</v>
      </c>
      <c r="I85" s="404">
        <v>30</v>
      </c>
      <c r="J85" s="404">
        <v>20</v>
      </c>
      <c r="K85" s="404">
        <v>15</v>
      </c>
      <c r="L85" s="404" t="s">
        <v>1051</v>
      </c>
      <c r="M85" s="404" t="s">
        <v>1051</v>
      </c>
    </row>
    <row r="86" spans="1:13" x14ac:dyDescent="0.2">
      <c r="A86" s="33"/>
      <c r="B86" s="33"/>
      <c r="C86" s="33"/>
      <c r="F86" s="68" t="str">
        <f>'G-1 All Habitats'!B86</f>
        <v>Wetland - Oceanic valley mire[1] (D2.1)</v>
      </c>
      <c r="G86" s="404" t="s">
        <v>1052</v>
      </c>
      <c r="H86" s="404" t="s">
        <v>1052</v>
      </c>
      <c r="I86" s="404">
        <v>30</v>
      </c>
      <c r="J86" s="404">
        <v>20</v>
      </c>
      <c r="K86" s="404">
        <v>15</v>
      </c>
      <c r="L86" s="404" t="s">
        <v>1051</v>
      </c>
      <c r="M86" s="404" t="s">
        <v>1051</v>
      </c>
    </row>
    <row r="87" spans="1:13" x14ac:dyDescent="0.2">
      <c r="A87" s="33"/>
      <c r="B87" s="33"/>
      <c r="C87" s="33"/>
      <c r="F87" s="68" t="str">
        <f>'G-1 All Habitats'!B87</f>
        <v>Wetland - Purple moor grass and rush pastures</v>
      </c>
      <c r="G87" s="404">
        <v>30</v>
      </c>
      <c r="H87" s="404">
        <v>25</v>
      </c>
      <c r="I87" s="404">
        <v>20</v>
      </c>
      <c r="J87" s="404">
        <v>15</v>
      </c>
      <c r="K87" s="404">
        <v>10</v>
      </c>
      <c r="L87" s="404" t="s">
        <v>1051</v>
      </c>
      <c r="M87" s="404" t="s">
        <v>1051</v>
      </c>
    </row>
    <row r="88" spans="1:13" x14ac:dyDescent="0.2">
      <c r="A88" s="33"/>
      <c r="B88" s="33"/>
      <c r="C88" s="33"/>
      <c r="F88" s="68" t="str">
        <f>'G-1 All Habitats'!B88</f>
        <v>Wetland - Reedbeds</v>
      </c>
      <c r="G88" s="404">
        <v>12</v>
      </c>
      <c r="H88" s="404">
        <v>10</v>
      </c>
      <c r="I88" s="404">
        <v>7</v>
      </c>
      <c r="J88" s="404">
        <v>5</v>
      </c>
      <c r="K88" s="404">
        <v>3</v>
      </c>
      <c r="L88" s="404" t="s">
        <v>1051</v>
      </c>
      <c r="M88" s="404" t="s">
        <v>1051</v>
      </c>
    </row>
    <row r="89" spans="1:13" x14ac:dyDescent="0.2">
      <c r="A89" s="33"/>
      <c r="B89" s="33"/>
      <c r="C89" s="33"/>
      <c r="F89" s="68" t="str">
        <f>'G-1 All Habitats'!B89</f>
        <v>Wetland - Transition mires and quaking bogs (H7140)</v>
      </c>
      <c r="G89" s="404" t="s">
        <v>1052</v>
      </c>
      <c r="H89" s="404" t="s">
        <v>1052</v>
      </c>
      <c r="I89" s="404">
        <v>30</v>
      </c>
      <c r="J89" s="404">
        <v>25</v>
      </c>
      <c r="K89" s="404">
        <v>15</v>
      </c>
      <c r="L89" s="404" t="s">
        <v>1051</v>
      </c>
      <c r="M89" s="404" t="s">
        <v>1051</v>
      </c>
    </row>
    <row r="90" spans="1:13" x14ac:dyDescent="0.2">
      <c r="A90" s="33"/>
      <c r="B90" s="33"/>
      <c r="C90" s="33"/>
      <c r="F90" s="68" t="str">
        <f>'G-1 All Habitats'!B90</f>
        <v>Woodland and forest - Felled</v>
      </c>
      <c r="G90" s="404" t="s">
        <v>1052</v>
      </c>
      <c r="H90" s="404" t="s">
        <v>1051</v>
      </c>
      <c r="I90" s="404" t="s">
        <v>1051</v>
      </c>
      <c r="J90" s="404" t="s">
        <v>1051</v>
      </c>
      <c r="K90" s="404" t="s">
        <v>1051</v>
      </c>
      <c r="L90" s="404" t="s">
        <v>1051</v>
      </c>
      <c r="M90" s="404" t="s">
        <v>1051</v>
      </c>
    </row>
    <row r="91" spans="1:13" x14ac:dyDescent="0.2">
      <c r="A91" s="33"/>
      <c r="B91" s="33"/>
      <c r="C91" s="33"/>
      <c r="F91" s="68" t="str">
        <f>'G-1 All Habitats'!B91</f>
        <v>Woodland and forest - Lowland beech and yew woodland</v>
      </c>
      <c r="G91" s="404" t="s">
        <v>1052</v>
      </c>
      <c r="H91" s="404" t="s">
        <v>1052</v>
      </c>
      <c r="I91" s="404" t="s">
        <v>1052</v>
      </c>
      <c r="J91" s="404">
        <v>25</v>
      </c>
      <c r="K91" s="404">
        <v>10</v>
      </c>
      <c r="L91" s="404" t="s">
        <v>1051</v>
      </c>
      <c r="M91" s="404" t="s">
        <v>1051</v>
      </c>
    </row>
    <row r="92" spans="1:13" x14ac:dyDescent="0.2">
      <c r="A92" s="33"/>
      <c r="B92" s="33"/>
      <c r="C92" s="33"/>
      <c r="F92" s="68" t="str">
        <f>'G-1 All Habitats'!B92</f>
        <v>Woodland and forest - Lowland mixed deciduous woodland</v>
      </c>
      <c r="G92" s="404" t="s">
        <v>1052</v>
      </c>
      <c r="H92" s="404" t="s">
        <v>1052</v>
      </c>
      <c r="I92" s="404" t="s">
        <v>1052</v>
      </c>
      <c r="J92" s="404">
        <v>25</v>
      </c>
      <c r="K92" s="404">
        <v>10</v>
      </c>
      <c r="L92" s="404" t="s">
        <v>1051</v>
      </c>
      <c r="M92" s="404" t="s">
        <v>1051</v>
      </c>
    </row>
    <row r="93" spans="1:13" x14ac:dyDescent="0.2">
      <c r="A93" s="33"/>
      <c r="B93" s="33"/>
      <c r="C93" s="33"/>
      <c r="F93" s="68" t="str">
        <f>'G-1 All Habitats'!B93</f>
        <v>Woodland and forest - Native pine woodlands</v>
      </c>
      <c r="G93" s="404" t="s">
        <v>1052</v>
      </c>
      <c r="H93" s="404" t="s">
        <v>1052</v>
      </c>
      <c r="I93" s="404" t="s">
        <v>1052</v>
      </c>
      <c r="J93" s="404">
        <v>25</v>
      </c>
      <c r="K93" s="404">
        <v>10</v>
      </c>
      <c r="L93" s="404" t="s">
        <v>1051</v>
      </c>
      <c r="M93" s="404" t="s">
        <v>1051</v>
      </c>
    </row>
    <row r="94" spans="1:13" x14ac:dyDescent="0.2">
      <c r="A94" s="33"/>
      <c r="B94" s="33"/>
      <c r="C94" s="33"/>
      <c r="F94" s="68" t="str">
        <f>'G-1 All Habitats'!B94</f>
        <v>Woodland and forest - Other coniferous woodland</v>
      </c>
      <c r="G94" s="404" t="s">
        <v>1052</v>
      </c>
      <c r="H94" s="404" t="s">
        <v>1052</v>
      </c>
      <c r="I94" s="404">
        <v>30</v>
      </c>
      <c r="J94" s="404">
        <v>10</v>
      </c>
      <c r="K94" s="404">
        <v>5</v>
      </c>
      <c r="L94" s="404" t="s">
        <v>1051</v>
      </c>
      <c r="M94" s="404" t="s">
        <v>1051</v>
      </c>
    </row>
    <row r="95" spans="1:13" x14ac:dyDescent="0.2">
      <c r="A95" s="33"/>
      <c r="B95" s="33"/>
      <c r="C95" s="33"/>
      <c r="F95" s="68" t="str">
        <f>'G-1 All Habitats'!B95</f>
        <v>Woodland and forest - Other Scot's pine woodland</v>
      </c>
      <c r="G95" s="404" t="s">
        <v>1052</v>
      </c>
      <c r="H95" s="404" t="s">
        <v>1052</v>
      </c>
      <c r="I95" s="404" t="s">
        <v>1052</v>
      </c>
      <c r="J95" s="404">
        <v>25</v>
      </c>
      <c r="K95" s="404">
        <v>10</v>
      </c>
      <c r="L95" s="404" t="s">
        <v>1051</v>
      </c>
      <c r="M95" s="404" t="s">
        <v>1051</v>
      </c>
    </row>
    <row r="96" spans="1:13" x14ac:dyDescent="0.2">
      <c r="A96" s="33"/>
      <c r="B96" s="33"/>
      <c r="C96" s="33"/>
      <c r="F96" s="68" t="str">
        <f>'G-1 All Habitats'!B96</f>
        <v>Woodland and forest - Other woodland; broadleaved</v>
      </c>
      <c r="G96" s="404" t="s">
        <v>1052</v>
      </c>
      <c r="H96" s="404">
        <v>25</v>
      </c>
      <c r="I96" s="404">
        <v>15</v>
      </c>
      <c r="J96" s="404">
        <v>7</v>
      </c>
      <c r="K96" s="404">
        <v>5</v>
      </c>
      <c r="L96" s="404" t="s">
        <v>1051</v>
      </c>
      <c r="M96" s="404" t="s">
        <v>1051</v>
      </c>
    </row>
    <row r="97" spans="1:13" x14ac:dyDescent="0.2">
      <c r="A97" s="33"/>
      <c r="B97" s="33"/>
      <c r="C97" s="33"/>
      <c r="F97" s="68" t="str">
        <f>'G-1 All Habitats'!B97</f>
        <v>Woodland and forest - Other woodland; mixed</v>
      </c>
      <c r="G97" s="404" t="s">
        <v>1052</v>
      </c>
      <c r="H97" s="404" t="s">
        <v>1052</v>
      </c>
      <c r="I97" s="404">
        <v>30</v>
      </c>
      <c r="J97" s="404">
        <v>10</v>
      </c>
      <c r="K97" s="404">
        <v>5</v>
      </c>
      <c r="L97" s="404" t="s">
        <v>1051</v>
      </c>
      <c r="M97" s="404" t="s">
        <v>1051</v>
      </c>
    </row>
    <row r="98" spans="1:13" x14ac:dyDescent="0.2">
      <c r="A98" s="33"/>
      <c r="B98" s="33"/>
      <c r="C98" s="33"/>
      <c r="F98" s="68" t="str">
        <f>'G-1 All Habitats'!B98</f>
        <v>Woodland and forest - Upland birchwoods</v>
      </c>
      <c r="G98" s="404" t="s">
        <v>1052</v>
      </c>
      <c r="H98" s="404">
        <v>30</v>
      </c>
      <c r="I98" s="404">
        <v>25</v>
      </c>
      <c r="J98" s="404">
        <v>20</v>
      </c>
      <c r="K98" s="404">
        <v>10</v>
      </c>
      <c r="L98" s="404" t="s">
        <v>1051</v>
      </c>
      <c r="M98" s="404" t="s">
        <v>1051</v>
      </c>
    </row>
    <row r="99" spans="1:13" x14ac:dyDescent="0.2">
      <c r="A99" s="33"/>
      <c r="B99" s="33"/>
      <c r="C99" s="33"/>
      <c r="F99" s="68" t="str">
        <f>'G-1 All Habitats'!B99</f>
        <v>Woodland and forest - Upland mixed ashwoods</v>
      </c>
      <c r="G99" s="404" t="s">
        <v>1052</v>
      </c>
      <c r="H99" s="404" t="s">
        <v>1052</v>
      </c>
      <c r="I99" s="404" t="s">
        <v>1052</v>
      </c>
      <c r="J99" s="404">
        <v>25</v>
      </c>
      <c r="K99" s="404">
        <v>10</v>
      </c>
      <c r="L99" s="404" t="s">
        <v>1051</v>
      </c>
      <c r="M99" s="404" t="s">
        <v>1051</v>
      </c>
    </row>
    <row r="100" spans="1:13" x14ac:dyDescent="0.2">
      <c r="A100" s="33"/>
      <c r="B100" s="33"/>
      <c r="C100" s="33"/>
      <c r="F100" s="68" t="str">
        <f>'G-1 All Habitats'!B100</f>
        <v>Woodland and forest - Upland oakwood</v>
      </c>
      <c r="G100" s="404" t="s">
        <v>1052</v>
      </c>
      <c r="H100" s="404" t="s">
        <v>1052</v>
      </c>
      <c r="I100" s="404" t="s">
        <v>1052</v>
      </c>
      <c r="J100" s="404">
        <v>25</v>
      </c>
      <c r="K100" s="404">
        <v>10</v>
      </c>
      <c r="L100" s="404" t="s">
        <v>1051</v>
      </c>
      <c r="M100" s="404" t="s">
        <v>1051</v>
      </c>
    </row>
    <row r="101" spans="1:13" x14ac:dyDescent="0.2">
      <c r="A101" s="33"/>
      <c r="B101" s="33"/>
      <c r="C101" s="33"/>
      <c r="F101" s="68" t="str">
        <f>'G-1 All Habitats'!B101</f>
        <v>Woodland and forest - Wet woodland</v>
      </c>
      <c r="G101" s="404" t="s">
        <v>1052</v>
      </c>
      <c r="H101" s="404">
        <v>30</v>
      </c>
      <c r="I101" s="404">
        <v>15</v>
      </c>
      <c r="J101" s="404">
        <v>10</v>
      </c>
      <c r="K101" s="404">
        <v>5</v>
      </c>
      <c r="L101" s="404" t="s">
        <v>1051</v>
      </c>
      <c r="M101" s="404" t="s">
        <v>1051</v>
      </c>
    </row>
    <row r="102" spans="1:13" x14ac:dyDescent="0.2">
      <c r="F102" s="68" t="str">
        <f>'G-1 All Habitats'!B102</f>
        <v>Woodland and forest - Wood-pasture and parkland</v>
      </c>
      <c r="G102" s="404" t="s">
        <v>1052</v>
      </c>
      <c r="H102" s="404" t="s">
        <v>1052</v>
      </c>
      <c r="I102" s="404" t="s">
        <v>1052</v>
      </c>
      <c r="J102" s="404">
        <v>25</v>
      </c>
      <c r="K102" s="404">
        <v>10</v>
      </c>
      <c r="L102" s="404" t="s">
        <v>1051</v>
      </c>
      <c r="M102" s="404" t="s">
        <v>1051</v>
      </c>
    </row>
    <row r="103" spans="1:13" x14ac:dyDescent="0.2">
      <c r="F103" s="68" t="str">
        <f>'G-1 All Habitats'!B103</f>
        <v>Coastal lagoons - Coastal lagoons</v>
      </c>
      <c r="G103" s="404">
        <v>10</v>
      </c>
      <c r="H103" s="404">
        <v>8</v>
      </c>
      <c r="I103" s="404">
        <v>5</v>
      </c>
      <c r="J103" s="404">
        <v>3</v>
      </c>
      <c r="K103" s="404">
        <v>1</v>
      </c>
      <c r="L103" s="404" t="s">
        <v>1051</v>
      </c>
      <c r="M103" s="404" t="s">
        <v>1051</v>
      </c>
    </row>
    <row r="104" spans="1:13" x14ac:dyDescent="0.2">
      <c r="F104" s="68" t="str">
        <f>'G-1 All Habitats'!B104</f>
        <v>Rocky shore - High energy littoral rock</v>
      </c>
      <c r="G104" s="404">
        <v>10</v>
      </c>
      <c r="H104" s="404">
        <v>7</v>
      </c>
      <c r="I104" s="404">
        <v>4</v>
      </c>
      <c r="J104" s="404">
        <v>2</v>
      </c>
      <c r="K104" s="404">
        <v>1</v>
      </c>
      <c r="L104" s="404" t="s">
        <v>1051</v>
      </c>
      <c r="M104" s="404" t="s">
        <v>1051</v>
      </c>
    </row>
    <row r="105" spans="1:13" x14ac:dyDescent="0.2">
      <c r="F105" s="68" t="str">
        <f>'G-1 All Habitats'!B105</f>
        <v>Rocky shore - High energy littoral rock - on peat, clay or chalk</v>
      </c>
      <c r="G105" s="404" t="s">
        <v>1052</v>
      </c>
      <c r="H105" s="404" t="s">
        <v>1052</v>
      </c>
      <c r="I105" s="404" t="s">
        <v>1052</v>
      </c>
      <c r="J105" s="404" t="s">
        <v>1052</v>
      </c>
      <c r="K105" s="404" t="s">
        <v>1052</v>
      </c>
      <c r="L105" s="404" t="s">
        <v>1051</v>
      </c>
      <c r="M105" s="404" t="s">
        <v>1051</v>
      </c>
    </row>
    <row r="106" spans="1:13" x14ac:dyDescent="0.2">
      <c r="F106" s="68" t="str">
        <f>'G-1 All Habitats'!B106</f>
        <v>Rocky shore - Moderate energy littoral rock</v>
      </c>
      <c r="G106" s="404">
        <v>13</v>
      </c>
      <c r="H106" s="404">
        <v>8</v>
      </c>
      <c r="I106" s="404">
        <v>4</v>
      </c>
      <c r="J106" s="404">
        <v>2</v>
      </c>
      <c r="K106" s="404">
        <v>1</v>
      </c>
      <c r="L106" s="404" t="s">
        <v>1051</v>
      </c>
      <c r="M106" s="404" t="s">
        <v>1051</v>
      </c>
    </row>
    <row r="107" spans="1:13" x14ac:dyDescent="0.2">
      <c r="F107" s="68" t="str">
        <f>'G-1 All Habitats'!B107</f>
        <v>Rocky shore - Moderate energy littoral rock - on peat, clay or chalk</v>
      </c>
      <c r="G107" s="404" t="s">
        <v>1052</v>
      </c>
      <c r="H107" s="404" t="s">
        <v>1052</v>
      </c>
      <c r="I107" s="404" t="s">
        <v>1052</v>
      </c>
      <c r="J107" s="404" t="s">
        <v>1052</v>
      </c>
      <c r="K107" s="404" t="s">
        <v>1052</v>
      </c>
      <c r="L107" s="404" t="s">
        <v>1051</v>
      </c>
      <c r="M107" s="404" t="s">
        <v>1051</v>
      </c>
    </row>
    <row r="108" spans="1:13" x14ac:dyDescent="0.2">
      <c r="F108" s="68" t="str">
        <f>'G-1 All Habitats'!B108</f>
        <v>Rocky shore - Low energy littoral rock</v>
      </c>
      <c r="G108" s="404">
        <v>15</v>
      </c>
      <c r="H108" s="404">
        <v>10</v>
      </c>
      <c r="I108" s="404">
        <v>5</v>
      </c>
      <c r="J108" s="404">
        <v>1</v>
      </c>
      <c r="K108" s="404">
        <v>1</v>
      </c>
      <c r="L108" s="404" t="s">
        <v>1051</v>
      </c>
      <c r="M108" s="404" t="s">
        <v>1051</v>
      </c>
    </row>
    <row r="109" spans="1:13" x14ac:dyDescent="0.2">
      <c r="F109" s="68" t="str">
        <f>'G-1 All Habitats'!B109</f>
        <v>Rocky shore - Low energy littoral rock - on peat, clay or chalk</v>
      </c>
      <c r="G109" s="404" t="s">
        <v>1052</v>
      </c>
      <c r="H109" s="404" t="s">
        <v>1052</v>
      </c>
      <c r="I109" s="404" t="s">
        <v>1052</v>
      </c>
      <c r="J109" s="404" t="s">
        <v>1052</v>
      </c>
      <c r="K109" s="404" t="s">
        <v>1052</v>
      </c>
      <c r="L109" s="404" t="s">
        <v>1051</v>
      </c>
      <c r="M109" s="404" t="s">
        <v>1051</v>
      </c>
    </row>
    <row r="110" spans="1:13" x14ac:dyDescent="0.2">
      <c r="F110" s="68" t="str">
        <f>'G-1 All Habitats'!B110</f>
        <v>Rocky shore - Features of littoral rock</v>
      </c>
      <c r="G110" s="404">
        <v>13</v>
      </c>
      <c r="H110" s="404">
        <v>8</v>
      </c>
      <c r="I110" s="404">
        <v>4</v>
      </c>
      <c r="J110" s="404">
        <v>2</v>
      </c>
      <c r="K110" s="404">
        <v>1</v>
      </c>
      <c r="L110" s="404" t="s">
        <v>1051</v>
      </c>
      <c r="M110" s="404" t="s">
        <v>1051</v>
      </c>
    </row>
    <row r="111" spans="1:13" x14ac:dyDescent="0.2">
      <c r="F111" s="68" t="str">
        <f>'G-1 All Habitats'!B111</f>
        <v>Rocky shore - Features of littoral rock - on peat, clay or chalk</v>
      </c>
      <c r="G111" s="404" t="s">
        <v>1052</v>
      </c>
      <c r="H111" s="404" t="s">
        <v>1052</v>
      </c>
      <c r="I111" s="404" t="s">
        <v>1052</v>
      </c>
      <c r="J111" s="404" t="s">
        <v>1052</v>
      </c>
      <c r="K111" s="404" t="s">
        <v>1052</v>
      </c>
      <c r="L111" s="404" t="s">
        <v>1051</v>
      </c>
      <c r="M111" s="404" t="s">
        <v>1051</v>
      </c>
    </row>
    <row r="112" spans="1:13" x14ac:dyDescent="0.2">
      <c r="F112" s="68" t="str">
        <f>'G-1 All Habitats'!B114</f>
        <v>Intertidal sediment - Littoral coarse sediment</v>
      </c>
      <c r="G112" s="404">
        <v>3</v>
      </c>
      <c r="H112" s="404">
        <v>2</v>
      </c>
      <c r="I112" s="404">
        <v>1</v>
      </c>
      <c r="J112" s="404">
        <v>1</v>
      </c>
      <c r="K112" s="404">
        <v>1</v>
      </c>
      <c r="L112" s="404" t="s">
        <v>1051</v>
      </c>
      <c r="M112" s="404" t="s">
        <v>1051</v>
      </c>
    </row>
    <row r="113" spans="6:13" x14ac:dyDescent="0.2">
      <c r="F113" s="68" t="str">
        <f>'G-1 All Habitats'!B115</f>
        <v>Intertidal sediment - Littoral mud</v>
      </c>
      <c r="G113" s="404">
        <v>6</v>
      </c>
      <c r="H113" s="404">
        <v>4</v>
      </c>
      <c r="I113" s="404">
        <v>3</v>
      </c>
      <c r="J113" s="404">
        <v>2</v>
      </c>
      <c r="K113" s="404">
        <v>1</v>
      </c>
      <c r="L113" s="404" t="s">
        <v>1051</v>
      </c>
      <c r="M113" s="404" t="s">
        <v>1051</v>
      </c>
    </row>
    <row r="114" spans="6:13" x14ac:dyDescent="0.2">
      <c r="F114" s="68" t="str">
        <f>'G-1 All Habitats'!B116</f>
        <v>Intertidal sediment - Littoral mixed sediments</v>
      </c>
      <c r="G114" s="404">
        <v>5</v>
      </c>
      <c r="H114" s="404">
        <v>4</v>
      </c>
      <c r="I114" s="404">
        <v>3</v>
      </c>
      <c r="J114" s="404">
        <v>2</v>
      </c>
      <c r="K114" s="404">
        <v>1</v>
      </c>
      <c r="L114" s="404" t="s">
        <v>1051</v>
      </c>
      <c r="M114" s="404" t="s">
        <v>1051</v>
      </c>
    </row>
    <row r="115" spans="6:13" x14ac:dyDescent="0.2">
      <c r="F115" s="68" t="str">
        <f>'G-1 All Habitats'!B112</f>
        <v>Coastal saltmarsh - Saltmarshes and saline reedbeds</v>
      </c>
      <c r="G115" s="404">
        <v>15</v>
      </c>
      <c r="H115" s="404">
        <v>10</v>
      </c>
      <c r="I115" s="404">
        <v>7</v>
      </c>
      <c r="J115" s="404">
        <v>3</v>
      </c>
      <c r="K115" s="404">
        <v>1</v>
      </c>
      <c r="L115" s="404" t="s">
        <v>1051</v>
      </c>
      <c r="M115" s="404" t="s">
        <v>1051</v>
      </c>
    </row>
    <row r="116" spans="6:13" x14ac:dyDescent="0.2">
      <c r="F116" s="68" t="str">
        <f>'G-1 All Habitats'!B113</f>
        <v>Coastal saltmarsh - Artificial saltmarshes and saline reedbeds</v>
      </c>
      <c r="G116" s="404">
        <v>15</v>
      </c>
      <c r="H116" s="404">
        <v>10</v>
      </c>
      <c r="I116" s="404">
        <v>7</v>
      </c>
      <c r="J116" s="404">
        <v>3</v>
      </c>
      <c r="K116" s="404">
        <v>1</v>
      </c>
      <c r="L116" s="404" t="s">
        <v>1051</v>
      </c>
      <c r="M116" s="404" t="s">
        <v>1051</v>
      </c>
    </row>
    <row r="117" spans="6:13" x14ac:dyDescent="0.2">
      <c r="F117" s="68" t="str">
        <f>'G-1 All Habitats'!B117</f>
        <v>Intertidal sediment - Littoral seagrass</v>
      </c>
      <c r="G117" s="404">
        <v>20</v>
      </c>
      <c r="H117" s="404">
        <v>15</v>
      </c>
      <c r="I117" s="404">
        <v>10</v>
      </c>
      <c r="J117" s="404">
        <v>5</v>
      </c>
      <c r="K117" s="404">
        <v>2</v>
      </c>
      <c r="L117" s="404" t="s">
        <v>1051</v>
      </c>
      <c r="M117" s="404" t="s">
        <v>1051</v>
      </c>
    </row>
    <row r="118" spans="6:13" x14ac:dyDescent="0.2">
      <c r="F118" s="68" t="str">
        <f>'G-1 All Habitats'!B118</f>
        <v>Intertidal sediment - Littoral seagrass on peat, clay or chalk</v>
      </c>
      <c r="G118" s="404" t="s">
        <v>1052</v>
      </c>
      <c r="H118" s="404" t="s">
        <v>1052</v>
      </c>
      <c r="I118" s="404" t="s">
        <v>1052</v>
      </c>
      <c r="J118" s="404" t="s">
        <v>1052</v>
      </c>
      <c r="K118" s="404" t="s">
        <v>1052</v>
      </c>
      <c r="L118" s="404" t="s">
        <v>1051</v>
      </c>
      <c r="M118" s="404" t="s">
        <v>1051</v>
      </c>
    </row>
    <row r="119" spans="6:13" x14ac:dyDescent="0.2">
      <c r="F119" s="68" t="str">
        <f>'G-1 All Habitats'!B119</f>
        <v>Intertidal sediment - Littoral biogenic reefs - Mussels</v>
      </c>
      <c r="G119" s="404">
        <v>15</v>
      </c>
      <c r="H119" s="404">
        <v>10</v>
      </c>
      <c r="I119" s="404">
        <v>5</v>
      </c>
      <c r="J119" s="404">
        <v>3</v>
      </c>
      <c r="K119" s="404">
        <v>3</v>
      </c>
      <c r="L119" s="404" t="s">
        <v>1051</v>
      </c>
      <c r="M119" s="404" t="s">
        <v>1051</v>
      </c>
    </row>
    <row r="120" spans="6:13" x14ac:dyDescent="0.2">
      <c r="F120" s="68" t="str">
        <f>'G-1 All Habitats'!B120</f>
        <v>Intertidal sediment - Littoral biogenic reefs - Sabellaria</v>
      </c>
      <c r="G120" s="404">
        <v>15</v>
      </c>
      <c r="H120" s="404">
        <v>10</v>
      </c>
      <c r="I120" s="404">
        <v>5</v>
      </c>
      <c r="J120" s="404">
        <v>3</v>
      </c>
      <c r="K120" s="404">
        <v>3</v>
      </c>
      <c r="L120" s="404" t="s">
        <v>1051</v>
      </c>
      <c r="M120" s="404" t="s">
        <v>1051</v>
      </c>
    </row>
    <row r="121" spans="6:13" x14ac:dyDescent="0.2">
      <c r="F121" s="68" t="str">
        <f>'G-1 All Habitats'!B121</f>
        <v>Intertidal sediment - Features of littoral sediment</v>
      </c>
      <c r="G121" s="404">
        <v>10</v>
      </c>
      <c r="H121" s="404">
        <v>7</v>
      </c>
      <c r="I121" s="404">
        <v>5</v>
      </c>
      <c r="J121" s="404">
        <v>3</v>
      </c>
      <c r="K121" s="404">
        <v>3</v>
      </c>
      <c r="L121" s="404" t="s">
        <v>1051</v>
      </c>
      <c r="M121" s="404" t="s">
        <v>1051</v>
      </c>
    </row>
    <row r="122" spans="6:13" x14ac:dyDescent="0.2">
      <c r="F122" s="68" t="str">
        <f>'G-1 All Habitats'!B122</f>
        <v>Intertidal sediment - Artificial littoral coarse sediment</v>
      </c>
      <c r="G122" s="404">
        <v>3</v>
      </c>
      <c r="H122" s="404">
        <v>2</v>
      </c>
      <c r="I122" s="404">
        <v>1</v>
      </c>
      <c r="J122" s="404">
        <v>1</v>
      </c>
      <c r="K122" s="404">
        <v>1</v>
      </c>
      <c r="L122" s="404" t="s">
        <v>1051</v>
      </c>
      <c r="M122" s="404" t="s">
        <v>1051</v>
      </c>
    </row>
    <row r="123" spans="6:13" x14ac:dyDescent="0.2">
      <c r="F123" s="68" t="str">
        <f>'G-1 All Habitats'!B123</f>
        <v>Intertidal sediment - Artificial littoral mud</v>
      </c>
      <c r="G123" s="404">
        <v>6</v>
      </c>
      <c r="H123" s="404">
        <v>4</v>
      </c>
      <c r="I123" s="404">
        <v>3</v>
      </c>
      <c r="J123" s="404">
        <v>2</v>
      </c>
      <c r="K123" s="404">
        <v>1</v>
      </c>
      <c r="L123" s="404" t="s">
        <v>1051</v>
      </c>
      <c r="M123" s="404" t="s">
        <v>1051</v>
      </c>
    </row>
    <row r="124" spans="6:13" x14ac:dyDescent="0.2">
      <c r="F124" s="68" t="str">
        <f>'G-1 All Habitats'!B124</f>
        <v>Intertidal sediment - Artificial littoral sand</v>
      </c>
      <c r="G124" s="404">
        <v>4</v>
      </c>
      <c r="H124" s="404">
        <v>2</v>
      </c>
      <c r="I124" s="404">
        <v>1</v>
      </c>
      <c r="J124" s="404">
        <v>1</v>
      </c>
      <c r="K124" s="404">
        <v>1</v>
      </c>
      <c r="L124" s="404" t="s">
        <v>1051</v>
      </c>
      <c r="M124" s="404" t="s">
        <v>1051</v>
      </c>
    </row>
    <row r="125" spans="6:13" x14ac:dyDescent="0.2">
      <c r="F125" s="68" t="str">
        <f>'G-1 All Habitats'!B125</f>
        <v>Intertidal sediment - Artificial littoral muddy sand</v>
      </c>
      <c r="G125" s="404">
        <v>5</v>
      </c>
      <c r="H125" s="404">
        <v>4</v>
      </c>
      <c r="I125" s="404">
        <v>3</v>
      </c>
      <c r="J125" s="404">
        <v>2</v>
      </c>
      <c r="K125" s="404">
        <v>1</v>
      </c>
      <c r="L125" s="404" t="s">
        <v>1051</v>
      </c>
      <c r="M125" s="404" t="s">
        <v>1051</v>
      </c>
    </row>
    <row r="126" spans="6:13" x14ac:dyDescent="0.2">
      <c r="F126" s="68" t="str">
        <f>'G-1 All Habitats'!B126</f>
        <v>Intertidal sediment - Artificial littoral mixed sediments</v>
      </c>
      <c r="G126" s="404">
        <v>5</v>
      </c>
      <c r="H126" s="404">
        <v>4</v>
      </c>
      <c r="I126" s="404">
        <v>3</v>
      </c>
      <c r="J126" s="404">
        <v>2</v>
      </c>
      <c r="K126" s="404">
        <v>1</v>
      </c>
      <c r="L126" s="404" t="s">
        <v>1051</v>
      </c>
      <c r="M126" s="404" t="s">
        <v>1051</v>
      </c>
    </row>
    <row r="127" spans="6:13" x14ac:dyDescent="0.2">
      <c r="F127" s="68" t="str">
        <f>'G-1 All Habitats'!B127</f>
        <v>Intertidal sediment - Artificial littoral seagrass</v>
      </c>
      <c r="G127" s="404">
        <v>20</v>
      </c>
      <c r="H127" s="404">
        <v>15</v>
      </c>
      <c r="I127" s="404">
        <v>10</v>
      </c>
      <c r="J127" s="404">
        <v>5</v>
      </c>
      <c r="K127" s="404">
        <v>2</v>
      </c>
      <c r="L127" s="404" t="s">
        <v>1051</v>
      </c>
      <c r="M127" s="404" t="s">
        <v>1051</v>
      </c>
    </row>
    <row r="128" spans="6:13" x14ac:dyDescent="0.2">
      <c r="F128" s="68" t="str">
        <f>'G-1 All Habitats'!B128</f>
        <v>Intertidal sediment - Artificial littoral biogenic reefs</v>
      </c>
      <c r="G128" s="404">
        <v>15</v>
      </c>
      <c r="H128" s="404">
        <v>10</v>
      </c>
      <c r="I128" s="404">
        <v>5</v>
      </c>
      <c r="J128" s="404">
        <v>3</v>
      </c>
      <c r="K128" s="404">
        <v>3</v>
      </c>
      <c r="L128" s="404" t="s">
        <v>1051</v>
      </c>
      <c r="M128" s="404" t="s">
        <v>1051</v>
      </c>
    </row>
    <row r="129" spans="6:13" x14ac:dyDescent="0.2">
      <c r="F129" s="68" t="str">
        <f>'G-1 All Habitats'!B129</f>
        <v>Intertidal sediment - Littoral sand</v>
      </c>
      <c r="G129" s="404">
        <v>4</v>
      </c>
      <c r="H129" s="404">
        <v>2</v>
      </c>
      <c r="I129" s="404">
        <v>1</v>
      </c>
      <c r="J129" s="404">
        <v>1</v>
      </c>
      <c r="K129" s="404">
        <v>1</v>
      </c>
      <c r="L129" s="404" t="s">
        <v>1051</v>
      </c>
      <c r="M129" s="404" t="s">
        <v>1051</v>
      </c>
    </row>
    <row r="130" spans="6:13" x14ac:dyDescent="0.2">
      <c r="F130" s="68" t="str">
        <f>'G-1 All Habitats'!B130</f>
        <v>Intertidal sediment - Littoral muddy sand</v>
      </c>
      <c r="G130" s="404">
        <v>5</v>
      </c>
      <c r="H130" s="404">
        <v>4</v>
      </c>
      <c r="I130" s="404">
        <v>3</v>
      </c>
      <c r="J130" s="404">
        <v>2</v>
      </c>
      <c r="K130" s="404">
        <v>1</v>
      </c>
      <c r="L130" s="404" t="s">
        <v>1051</v>
      </c>
      <c r="M130" s="404" t="s">
        <v>1051</v>
      </c>
    </row>
    <row r="131" spans="6:13" x14ac:dyDescent="0.2">
      <c r="F131" s="68" t="str">
        <f>'G-1 All Habitats'!B131</f>
        <v>Intertidal hard structures - Artificial hard structures</v>
      </c>
      <c r="G131" s="404">
        <v>15</v>
      </c>
      <c r="H131" s="404">
        <v>10</v>
      </c>
      <c r="I131" s="404">
        <v>5</v>
      </c>
      <c r="J131" s="404">
        <v>2</v>
      </c>
      <c r="K131" s="404">
        <v>1</v>
      </c>
      <c r="L131" s="404" t="s">
        <v>1051</v>
      </c>
      <c r="M131" s="404" t="s">
        <v>1051</v>
      </c>
    </row>
    <row r="132" spans="6:13" x14ac:dyDescent="0.2">
      <c r="F132" s="68" t="str">
        <f>'G-1 All Habitats'!B132</f>
        <v>Intertidal hard structures - Artificial features of hard structures</v>
      </c>
      <c r="G132" s="404">
        <v>13</v>
      </c>
      <c r="H132" s="404">
        <v>8</v>
      </c>
      <c r="I132" s="404">
        <v>4</v>
      </c>
      <c r="J132" s="404">
        <v>2</v>
      </c>
      <c r="K132" s="404">
        <v>1</v>
      </c>
      <c r="L132" s="404" t="s">
        <v>1051</v>
      </c>
      <c r="M132" s="404" t="s">
        <v>1051</v>
      </c>
    </row>
    <row r="133" spans="6:13" x14ac:dyDescent="0.2">
      <c r="F133" s="68" t="str">
        <f>'G-1 All Habitats'!B133</f>
        <v>Intertidal hard structures - Artificial hard structures with integrated greening of grey infrastructure (IGGI)</v>
      </c>
      <c r="G133" s="404">
        <v>13</v>
      </c>
      <c r="H133" s="404">
        <v>8</v>
      </c>
      <c r="I133" s="404">
        <v>4</v>
      </c>
      <c r="J133" s="404">
        <v>2</v>
      </c>
      <c r="K133" s="404">
        <v>1</v>
      </c>
      <c r="L133" s="404" t="s">
        <v>1051</v>
      </c>
      <c r="M133" s="404" t="s">
        <v>1051</v>
      </c>
    </row>
    <row r="134" spans="6:13" x14ac:dyDescent="0.2">
      <c r="F134" s="68" t="str">
        <f>'G-1 All Habitats'!B134</f>
        <v>Watercourse footprint - Watercourse footprint</v>
      </c>
      <c r="G134" s="404" t="s">
        <v>1051</v>
      </c>
      <c r="H134" s="404" t="s">
        <v>1051</v>
      </c>
      <c r="I134" s="404" t="s">
        <v>1051</v>
      </c>
      <c r="J134" s="404" t="s">
        <v>1051</v>
      </c>
      <c r="K134" s="404" t="s">
        <v>1051</v>
      </c>
      <c r="L134" s="404" t="s">
        <v>1051</v>
      </c>
      <c r="M134" s="404">
        <v>0</v>
      </c>
    </row>
    <row r="135" spans="6:13" x14ac:dyDescent="0.2">
      <c r="F135" s="68" t="str">
        <f>'G-1 All Habitats'!B81</f>
        <v>Individual trees - Rural tree</v>
      </c>
      <c r="G135" s="404" t="s">
        <v>1052</v>
      </c>
      <c r="H135" s="404" t="s">
        <v>1052</v>
      </c>
      <c r="I135" s="404">
        <v>27</v>
      </c>
      <c r="J135" s="404">
        <v>19</v>
      </c>
      <c r="K135" s="404">
        <v>10</v>
      </c>
      <c r="L135" s="404" t="s">
        <v>1051</v>
      </c>
      <c r="M135" s="404" t="s">
        <v>1051</v>
      </c>
    </row>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row r="150" x14ac:dyDescent="0.2"/>
    <row r="151" x14ac:dyDescent="0.2"/>
    <row r="152" x14ac:dyDescent="0.2"/>
    <row r="153" x14ac:dyDescent="0.2"/>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4.25" zeroHeight="1" x14ac:dyDescent="0.2"/>
  <cols>
    <col min="1" max="1" width="3.5703125" style="30" customWidth="1"/>
    <col min="2" max="2" width="3.140625" style="30" customWidth="1"/>
    <col min="3" max="3" width="88.85546875" style="30" bestFit="1" customWidth="1"/>
    <col min="4" max="4" width="18" style="33" customWidth="1"/>
    <col min="5" max="5" width="21.5703125" style="33" customWidth="1"/>
    <col min="6" max="6" width="17.85546875" style="33" customWidth="1"/>
    <col min="7" max="7" width="18.7109375" style="33" customWidth="1"/>
    <col min="8" max="8" width="18.855468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140625" style="33" bestFit="1" customWidth="1"/>
    <col min="24" max="24" width="14.42578125" style="33" bestFit="1" customWidth="1"/>
    <col min="25" max="25" width="12.7109375" style="33" bestFit="1" customWidth="1"/>
    <col min="26" max="26" width="11.85546875" style="33" customWidth="1"/>
    <col min="27" max="30" width="11.85546875" style="30" customWidth="1"/>
    <col min="31" max="40" width="11.85546875" style="30" hidden="1" customWidth="1"/>
    <col min="41" max="16384" width="9.140625" style="30" hidden="1"/>
  </cols>
  <sheetData>
    <row r="1" spans="3:25" ht="33.6" customHeight="1" x14ac:dyDescent="0.2">
      <c r="D1" s="30"/>
      <c r="E1" s="30"/>
      <c r="F1" s="30"/>
      <c r="G1" s="30"/>
      <c r="H1" s="30"/>
      <c r="I1" s="30"/>
      <c r="J1" s="30"/>
      <c r="K1" s="30"/>
      <c r="L1" s="30"/>
      <c r="M1" s="30"/>
      <c r="N1" s="30"/>
      <c r="O1" s="30"/>
      <c r="P1" s="30"/>
      <c r="Q1" s="30"/>
      <c r="R1" s="30"/>
      <c r="S1" s="30"/>
      <c r="T1" s="30"/>
      <c r="U1" s="30"/>
      <c r="V1" s="30"/>
      <c r="W1" s="30"/>
      <c r="X1" s="30"/>
      <c r="Y1" s="30"/>
    </row>
    <row r="2" spans="3:25" ht="42.75" x14ac:dyDescent="0.2">
      <c r="C2" s="226" t="s">
        <v>1054</v>
      </c>
      <c r="D2" s="80" t="s">
        <v>1055</v>
      </c>
      <c r="E2" s="80" t="s">
        <v>1055</v>
      </c>
      <c r="F2" s="80" t="s">
        <v>1055</v>
      </c>
      <c r="G2" s="80" t="s">
        <v>1055</v>
      </c>
      <c r="H2" s="80" t="s">
        <v>1055</v>
      </c>
      <c r="I2" s="80" t="s">
        <v>1055</v>
      </c>
      <c r="J2" s="80" t="s">
        <v>1055</v>
      </c>
      <c r="K2" s="80" t="s">
        <v>493</v>
      </c>
      <c r="L2" s="80" t="s">
        <v>493</v>
      </c>
      <c r="M2" s="80" t="s">
        <v>493</v>
      </c>
      <c r="N2" s="80" t="s">
        <v>493</v>
      </c>
      <c r="O2" s="80" t="s">
        <v>329</v>
      </c>
      <c r="P2" s="80" t="s">
        <v>329</v>
      </c>
      <c r="Q2" s="80" t="s">
        <v>329</v>
      </c>
      <c r="R2" s="80" t="s">
        <v>329</v>
      </c>
      <c r="S2" s="80" t="s">
        <v>483</v>
      </c>
      <c r="T2" s="80" t="s">
        <v>483</v>
      </c>
      <c r="U2" s="80" t="s">
        <v>483</v>
      </c>
      <c r="V2" s="80" t="s">
        <v>67</v>
      </c>
      <c r="W2" s="80" t="s">
        <v>67</v>
      </c>
      <c r="X2" s="80" t="s">
        <v>473</v>
      </c>
      <c r="Y2" s="80" t="s">
        <v>68</v>
      </c>
    </row>
    <row r="3" spans="3:25" ht="29.45" customHeight="1" x14ac:dyDescent="0.2">
      <c r="C3" s="226" t="s">
        <v>1056</v>
      </c>
      <c r="D3" s="80" t="s">
        <v>497</v>
      </c>
      <c r="E3" s="80" t="s">
        <v>493</v>
      </c>
      <c r="F3" s="80" t="s">
        <v>329</v>
      </c>
      <c r="G3" s="80" t="s">
        <v>483</v>
      </c>
      <c r="H3" s="80" t="s">
        <v>67</v>
      </c>
      <c r="I3" s="80" t="s">
        <v>473</v>
      </c>
      <c r="J3" s="80" t="s">
        <v>68</v>
      </c>
      <c r="K3" s="80" t="s">
        <v>483</v>
      </c>
      <c r="L3" s="80" t="s">
        <v>67</v>
      </c>
      <c r="M3" s="80" t="s">
        <v>473</v>
      </c>
      <c r="N3" s="80" t="s">
        <v>68</v>
      </c>
      <c r="O3" s="80" t="s">
        <v>483</v>
      </c>
      <c r="P3" s="80" t="s">
        <v>67</v>
      </c>
      <c r="Q3" s="80" t="s">
        <v>473</v>
      </c>
      <c r="R3" s="80" t="s">
        <v>68</v>
      </c>
      <c r="S3" s="80" t="s">
        <v>67</v>
      </c>
      <c r="T3" s="80" t="s">
        <v>473</v>
      </c>
      <c r="U3" s="80" t="s">
        <v>68</v>
      </c>
      <c r="V3" s="80" t="s">
        <v>473</v>
      </c>
      <c r="W3" s="80" t="s">
        <v>68</v>
      </c>
      <c r="X3" s="80" t="s">
        <v>68</v>
      </c>
      <c r="Y3" s="80" t="s">
        <v>68</v>
      </c>
    </row>
    <row r="4" spans="3:25" ht="72" customHeight="1" x14ac:dyDescent="0.2">
      <c r="C4" s="226" t="s">
        <v>339</v>
      </c>
      <c r="D4" s="78" t="s">
        <v>1057</v>
      </c>
      <c r="E4" s="78" t="s">
        <v>1058</v>
      </c>
      <c r="F4" s="78" t="s">
        <v>1059</v>
      </c>
      <c r="G4" s="78" t="s">
        <v>1060</v>
      </c>
      <c r="H4" s="78" t="s">
        <v>1061</v>
      </c>
      <c r="I4" s="78" t="s">
        <v>1062</v>
      </c>
      <c r="J4" s="78" t="s">
        <v>1063</v>
      </c>
      <c r="K4" s="78" t="s">
        <v>1064</v>
      </c>
      <c r="L4" s="78" t="s">
        <v>1065</v>
      </c>
      <c r="M4" s="78" t="s">
        <v>1066</v>
      </c>
      <c r="N4" s="78" t="s">
        <v>1067</v>
      </c>
      <c r="O4" s="78" t="s">
        <v>1068</v>
      </c>
      <c r="P4" s="78" t="s">
        <v>1069</v>
      </c>
      <c r="Q4" s="78" t="s">
        <v>1070</v>
      </c>
      <c r="R4" s="78" t="s">
        <v>1071</v>
      </c>
      <c r="S4" s="78" t="s">
        <v>1072</v>
      </c>
      <c r="T4" s="78" t="s">
        <v>1073</v>
      </c>
      <c r="U4" s="78" t="s">
        <v>1074</v>
      </c>
      <c r="V4" s="78" t="s">
        <v>1075</v>
      </c>
      <c r="W4" s="78" t="s">
        <v>1076</v>
      </c>
      <c r="X4" s="78" t="s">
        <v>1077</v>
      </c>
      <c r="Y4" s="78" t="s">
        <v>1078</v>
      </c>
    </row>
    <row r="5" spans="3:25" x14ac:dyDescent="0.2">
      <c r="C5" s="68" t="str">
        <f>'G-1 All Habitats'!B3</f>
        <v>Cropland - Arable field margins cultivated annually</v>
      </c>
      <c r="D5" s="404" t="s">
        <v>1051</v>
      </c>
      <c r="E5" s="404">
        <v>1</v>
      </c>
      <c r="F5" s="404" t="s">
        <v>1051</v>
      </c>
      <c r="G5" s="404" t="s">
        <v>1051</v>
      </c>
      <c r="H5" s="404" t="s">
        <v>1051</v>
      </c>
      <c r="I5" s="404" t="s">
        <v>1051</v>
      </c>
      <c r="J5" s="404" t="s">
        <v>1051</v>
      </c>
      <c r="K5" s="404" t="s">
        <v>1051</v>
      </c>
      <c r="L5" s="404" t="s">
        <v>1051</v>
      </c>
      <c r="M5" s="404" t="s">
        <v>1051</v>
      </c>
      <c r="N5" s="404" t="s">
        <v>1051</v>
      </c>
      <c r="O5" s="404" t="s">
        <v>1051</v>
      </c>
      <c r="P5" s="404" t="s">
        <v>1051</v>
      </c>
      <c r="Q5" s="404" t="s">
        <v>1051</v>
      </c>
      <c r="R5" s="404" t="s">
        <v>1051</v>
      </c>
      <c r="S5" s="404" t="s">
        <v>1051</v>
      </c>
      <c r="T5" s="404" t="s">
        <v>1051</v>
      </c>
      <c r="U5" s="404" t="s">
        <v>1051</v>
      </c>
      <c r="V5" s="404" t="s">
        <v>1051</v>
      </c>
      <c r="W5" s="404" t="s">
        <v>1051</v>
      </c>
      <c r="X5" s="404" t="s">
        <v>1051</v>
      </c>
      <c r="Y5" s="404" t="s">
        <v>1051</v>
      </c>
    </row>
    <row r="6" spans="3:25" x14ac:dyDescent="0.2">
      <c r="C6" s="68" t="str">
        <f>'G-1 All Habitats'!B4</f>
        <v>Cropland - Arable field margins game bird mix</v>
      </c>
      <c r="D6" s="404" t="s">
        <v>1051</v>
      </c>
      <c r="E6" s="404">
        <v>1</v>
      </c>
      <c r="F6" s="404" t="s">
        <v>1051</v>
      </c>
      <c r="G6" s="404" t="s">
        <v>1051</v>
      </c>
      <c r="H6" s="404" t="s">
        <v>1051</v>
      </c>
      <c r="I6" s="404" t="s">
        <v>1051</v>
      </c>
      <c r="J6" s="404" t="s">
        <v>1051</v>
      </c>
      <c r="K6" s="404" t="s">
        <v>1051</v>
      </c>
      <c r="L6" s="404" t="s">
        <v>1051</v>
      </c>
      <c r="M6" s="404" t="s">
        <v>1051</v>
      </c>
      <c r="N6" s="404" t="s">
        <v>1051</v>
      </c>
      <c r="O6" s="404" t="s">
        <v>1051</v>
      </c>
      <c r="P6" s="404" t="s">
        <v>1051</v>
      </c>
      <c r="Q6" s="404" t="s">
        <v>1051</v>
      </c>
      <c r="R6" s="404" t="s">
        <v>1051</v>
      </c>
      <c r="S6" s="404" t="s">
        <v>1051</v>
      </c>
      <c r="T6" s="404" t="s">
        <v>1051</v>
      </c>
      <c r="U6" s="404" t="s">
        <v>1051</v>
      </c>
      <c r="V6" s="404" t="s">
        <v>1051</v>
      </c>
      <c r="W6" s="404" t="s">
        <v>1051</v>
      </c>
      <c r="X6" s="404" t="s">
        <v>1051</v>
      </c>
      <c r="Y6" s="404" t="s">
        <v>1051</v>
      </c>
    </row>
    <row r="7" spans="3:25" x14ac:dyDescent="0.2">
      <c r="C7" s="68" t="str">
        <f>'G-1 All Habitats'!B5</f>
        <v>Cropland - Arable field margins pollen and nectar</v>
      </c>
      <c r="D7" s="404" t="s">
        <v>1051</v>
      </c>
      <c r="E7" s="404">
        <v>1</v>
      </c>
      <c r="F7" s="404" t="s">
        <v>1051</v>
      </c>
      <c r="G7" s="404" t="s">
        <v>1051</v>
      </c>
      <c r="H7" s="404" t="s">
        <v>1051</v>
      </c>
      <c r="I7" s="404" t="s">
        <v>1051</v>
      </c>
      <c r="J7" s="404" t="s">
        <v>1051</v>
      </c>
      <c r="K7" s="404" t="s">
        <v>1051</v>
      </c>
      <c r="L7" s="404" t="s">
        <v>1051</v>
      </c>
      <c r="M7" s="404" t="s">
        <v>1051</v>
      </c>
      <c r="N7" s="404" t="s">
        <v>1051</v>
      </c>
      <c r="O7" s="404" t="s">
        <v>1051</v>
      </c>
      <c r="P7" s="404" t="s">
        <v>1051</v>
      </c>
      <c r="Q7" s="404" t="s">
        <v>1051</v>
      </c>
      <c r="R7" s="404" t="s">
        <v>1051</v>
      </c>
      <c r="S7" s="404" t="s">
        <v>1051</v>
      </c>
      <c r="T7" s="404" t="s">
        <v>1051</v>
      </c>
      <c r="U7" s="404" t="s">
        <v>1051</v>
      </c>
      <c r="V7" s="404" t="s">
        <v>1051</v>
      </c>
      <c r="W7" s="404" t="s">
        <v>1051</v>
      </c>
      <c r="X7" s="404" t="s">
        <v>1051</v>
      </c>
      <c r="Y7" s="404" t="s">
        <v>1051</v>
      </c>
    </row>
    <row r="8" spans="3:25" x14ac:dyDescent="0.2">
      <c r="C8" s="68" t="str">
        <f>'G-1 All Habitats'!B6</f>
        <v>Cropland - Arable field margins tussocky</v>
      </c>
      <c r="D8" s="404" t="s">
        <v>1051</v>
      </c>
      <c r="E8" s="404">
        <v>1</v>
      </c>
      <c r="F8" s="404" t="s">
        <v>1051</v>
      </c>
      <c r="G8" s="404" t="s">
        <v>1051</v>
      </c>
      <c r="H8" s="404" t="s">
        <v>1051</v>
      </c>
      <c r="I8" s="404" t="s">
        <v>1051</v>
      </c>
      <c r="J8" s="404" t="s">
        <v>1051</v>
      </c>
      <c r="K8" s="404" t="s">
        <v>1051</v>
      </c>
      <c r="L8" s="404" t="s">
        <v>1051</v>
      </c>
      <c r="M8" s="404" t="s">
        <v>1051</v>
      </c>
      <c r="N8" s="404" t="s">
        <v>1051</v>
      </c>
      <c r="O8" s="404" t="s">
        <v>1051</v>
      </c>
      <c r="P8" s="404" t="s">
        <v>1051</v>
      </c>
      <c r="Q8" s="404" t="s">
        <v>1051</v>
      </c>
      <c r="R8" s="404" t="s">
        <v>1051</v>
      </c>
      <c r="S8" s="404" t="s">
        <v>1051</v>
      </c>
      <c r="T8" s="404" t="s">
        <v>1051</v>
      </c>
      <c r="U8" s="404" t="s">
        <v>1051</v>
      </c>
      <c r="V8" s="404" t="s">
        <v>1051</v>
      </c>
      <c r="W8" s="404" t="s">
        <v>1051</v>
      </c>
      <c r="X8" s="404" t="s">
        <v>1051</v>
      </c>
      <c r="Y8" s="404" t="s">
        <v>1051</v>
      </c>
    </row>
    <row r="9" spans="3:25" x14ac:dyDescent="0.2">
      <c r="C9" s="68" t="str">
        <f>'G-1 All Habitats'!B7</f>
        <v>Cropland - Cereal crops</v>
      </c>
      <c r="D9" s="404" t="s">
        <v>1051</v>
      </c>
      <c r="E9" s="404" t="s">
        <v>1051</v>
      </c>
      <c r="F9" s="404" t="s">
        <v>1051</v>
      </c>
      <c r="G9" s="404" t="s">
        <v>1051</v>
      </c>
      <c r="H9" s="404" t="s">
        <v>1051</v>
      </c>
      <c r="I9" s="404" t="s">
        <v>1051</v>
      </c>
      <c r="J9" s="404" t="s">
        <v>1051</v>
      </c>
      <c r="K9" s="404" t="s">
        <v>1051</v>
      </c>
      <c r="L9" s="404" t="s">
        <v>1051</v>
      </c>
      <c r="M9" s="404" t="s">
        <v>1051</v>
      </c>
      <c r="N9" s="404" t="s">
        <v>1051</v>
      </c>
      <c r="O9" s="404" t="s">
        <v>1051</v>
      </c>
      <c r="P9" s="404" t="s">
        <v>1051</v>
      </c>
      <c r="Q9" s="404" t="s">
        <v>1051</v>
      </c>
      <c r="R9" s="404" t="s">
        <v>1051</v>
      </c>
      <c r="S9" s="404" t="s">
        <v>1051</v>
      </c>
      <c r="T9" s="404" t="s">
        <v>1051</v>
      </c>
      <c r="U9" s="404" t="s">
        <v>1051</v>
      </c>
      <c r="V9" s="404" t="s">
        <v>1051</v>
      </c>
      <c r="W9" s="404" t="s">
        <v>1051</v>
      </c>
      <c r="X9" s="404" t="s">
        <v>1051</v>
      </c>
      <c r="Y9" s="404" t="s">
        <v>1051</v>
      </c>
    </row>
    <row r="10" spans="3:25" x14ac:dyDescent="0.2">
      <c r="C10" s="68" t="str">
        <f>'G-1 All Habitats'!B8</f>
        <v>Cropland - Winter stubble</v>
      </c>
      <c r="D10" s="404" t="s">
        <v>1051</v>
      </c>
      <c r="E10" s="404" t="s">
        <v>1051</v>
      </c>
      <c r="F10" s="404" t="s">
        <v>1051</v>
      </c>
      <c r="G10" s="404" t="s">
        <v>1051</v>
      </c>
      <c r="H10" s="404" t="s">
        <v>1051</v>
      </c>
      <c r="I10" s="404" t="s">
        <v>1051</v>
      </c>
      <c r="J10" s="404" t="s">
        <v>1051</v>
      </c>
      <c r="K10" s="404" t="s">
        <v>1051</v>
      </c>
      <c r="L10" s="404" t="s">
        <v>1051</v>
      </c>
      <c r="M10" s="404" t="s">
        <v>1051</v>
      </c>
      <c r="N10" s="404" t="s">
        <v>1051</v>
      </c>
      <c r="O10" s="404" t="s">
        <v>1051</v>
      </c>
      <c r="P10" s="404" t="s">
        <v>1051</v>
      </c>
      <c r="Q10" s="404" t="s">
        <v>1051</v>
      </c>
      <c r="R10" s="404" t="s">
        <v>1051</v>
      </c>
      <c r="S10" s="404" t="s">
        <v>1051</v>
      </c>
      <c r="T10" s="404" t="s">
        <v>1051</v>
      </c>
      <c r="U10" s="404" t="s">
        <v>1051</v>
      </c>
      <c r="V10" s="404" t="s">
        <v>1051</v>
      </c>
      <c r="W10" s="404" t="s">
        <v>1051</v>
      </c>
      <c r="X10" s="404" t="s">
        <v>1051</v>
      </c>
      <c r="Y10" s="404" t="s">
        <v>1051</v>
      </c>
    </row>
    <row r="11" spans="3:25" x14ac:dyDescent="0.2">
      <c r="C11" s="68" t="str">
        <f>'G-1 All Habitats'!B9</f>
        <v>Cropland - Horticulture</v>
      </c>
      <c r="D11" s="404" t="s">
        <v>1051</v>
      </c>
      <c r="E11" s="404" t="s">
        <v>1051</v>
      </c>
      <c r="F11" s="404" t="s">
        <v>1051</v>
      </c>
      <c r="G11" s="404" t="s">
        <v>1051</v>
      </c>
      <c r="H11" s="404" t="s">
        <v>1051</v>
      </c>
      <c r="I11" s="404" t="s">
        <v>1051</v>
      </c>
      <c r="J11" s="404" t="s">
        <v>1051</v>
      </c>
      <c r="K11" s="404" t="s">
        <v>1051</v>
      </c>
      <c r="L11" s="404" t="s">
        <v>1051</v>
      </c>
      <c r="M11" s="404" t="s">
        <v>1051</v>
      </c>
      <c r="N11" s="404" t="s">
        <v>1051</v>
      </c>
      <c r="O11" s="404" t="s">
        <v>1051</v>
      </c>
      <c r="P11" s="404" t="s">
        <v>1051</v>
      </c>
      <c r="Q11" s="404" t="s">
        <v>1051</v>
      </c>
      <c r="R11" s="404" t="s">
        <v>1051</v>
      </c>
      <c r="S11" s="404" t="s">
        <v>1051</v>
      </c>
      <c r="T11" s="404" t="s">
        <v>1051</v>
      </c>
      <c r="U11" s="404" t="s">
        <v>1051</v>
      </c>
      <c r="V11" s="404" t="s">
        <v>1051</v>
      </c>
      <c r="W11" s="404" t="s">
        <v>1051</v>
      </c>
      <c r="X11" s="404" t="s">
        <v>1051</v>
      </c>
      <c r="Y11" s="404" t="s">
        <v>1051</v>
      </c>
    </row>
    <row r="12" spans="3:25" x14ac:dyDescent="0.2">
      <c r="C12" s="68" t="str">
        <f>'G-1 All Habitats'!B10</f>
        <v>Cropland - Intensive orchards</v>
      </c>
      <c r="D12" s="404" t="s">
        <v>1051</v>
      </c>
      <c r="E12" s="404" t="s">
        <v>1051</v>
      </c>
      <c r="F12" s="404" t="s">
        <v>1051</v>
      </c>
      <c r="G12" s="404" t="s">
        <v>1051</v>
      </c>
      <c r="H12" s="404" t="s">
        <v>1051</v>
      </c>
      <c r="I12" s="404" t="s">
        <v>1051</v>
      </c>
      <c r="J12" s="404" t="s">
        <v>1051</v>
      </c>
      <c r="K12" s="404" t="s">
        <v>1051</v>
      </c>
      <c r="L12" s="404" t="s">
        <v>1051</v>
      </c>
      <c r="M12" s="404" t="s">
        <v>1051</v>
      </c>
      <c r="N12" s="404" t="s">
        <v>1051</v>
      </c>
      <c r="O12" s="404" t="s">
        <v>1051</v>
      </c>
      <c r="P12" s="404" t="s">
        <v>1051</v>
      </c>
      <c r="Q12" s="404" t="s">
        <v>1051</v>
      </c>
      <c r="R12" s="404" t="s">
        <v>1051</v>
      </c>
      <c r="S12" s="404" t="s">
        <v>1051</v>
      </c>
      <c r="T12" s="404" t="s">
        <v>1051</v>
      </c>
      <c r="U12" s="404" t="s">
        <v>1051</v>
      </c>
      <c r="V12" s="404" t="s">
        <v>1051</v>
      </c>
      <c r="W12" s="404" t="s">
        <v>1051</v>
      </c>
      <c r="X12" s="404" t="s">
        <v>1051</v>
      </c>
      <c r="Y12" s="404" t="s">
        <v>1051</v>
      </c>
    </row>
    <row r="13" spans="3:25" x14ac:dyDescent="0.2">
      <c r="C13" s="68" t="str">
        <f>'G-1 All Habitats'!B11</f>
        <v>Cropland - Non-cereal crops</v>
      </c>
      <c r="D13" s="404" t="s">
        <v>1051</v>
      </c>
      <c r="E13" s="404" t="s">
        <v>1051</v>
      </c>
      <c r="F13" s="404" t="s">
        <v>1051</v>
      </c>
      <c r="G13" s="404" t="s">
        <v>1051</v>
      </c>
      <c r="H13" s="404" t="s">
        <v>1051</v>
      </c>
      <c r="I13" s="404" t="s">
        <v>1051</v>
      </c>
      <c r="J13" s="404" t="s">
        <v>1051</v>
      </c>
      <c r="K13" s="404" t="s">
        <v>1051</v>
      </c>
      <c r="L13" s="404" t="s">
        <v>1051</v>
      </c>
      <c r="M13" s="404" t="s">
        <v>1051</v>
      </c>
      <c r="N13" s="404" t="s">
        <v>1051</v>
      </c>
      <c r="O13" s="404" t="s">
        <v>1051</v>
      </c>
      <c r="P13" s="404" t="s">
        <v>1051</v>
      </c>
      <c r="Q13" s="404" t="s">
        <v>1051</v>
      </c>
      <c r="R13" s="404" t="s">
        <v>1051</v>
      </c>
      <c r="S13" s="404" t="s">
        <v>1051</v>
      </c>
      <c r="T13" s="404" t="s">
        <v>1051</v>
      </c>
      <c r="U13" s="404" t="s">
        <v>1051</v>
      </c>
      <c r="V13" s="404" t="s">
        <v>1051</v>
      </c>
      <c r="W13" s="404" t="s">
        <v>1051</v>
      </c>
      <c r="X13" s="404" t="s">
        <v>1051</v>
      </c>
      <c r="Y13" s="404" t="s">
        <v>1051</v>
      </c>
    </row>
    <row r="14" spans="3:25" x14ac:dyDescent="0.2">
      <c r="C14" s="68" t="str">
        <f>'G-1 All Habitats'!B12</f>
        <v>Cropland - Temporary grass and clover leys</v>
      </c>
      <c r="D14" s="404" t="s">
        <v>1051</v>
      </c>
      <c r="E14" s="404" t="s">
        <v>1051</v>
      </c>
      <c r="F14" s="404" t="s">
        <v>1051</v>
      </c>
      <c r="G14" s="404" t="s">
        <v>1051</v>
      </c>
      <c r="H14" s="404" t="s">
        <v>1051</v>
      </c>
      <c r="I14" s="404" t="s">
        <v>1051</v>
      </c>
      <c r="J14" s="404" t="s">
        <v>1051</v>
      </c>
      <c r="K14" s="404" t="s">
        <v>1051</v>
      </c>
      <c r="L14" s="404" t="s">
        <v>1051</v>
      </c>
      <c r="M14" s="404" t="s">
        <v>1051</v>
      </c>
      <c r="N14" s="404" t="s">
        <v>1051</v>
      </c>
      <c r="O14" s="404" t="s">
        <v>1051</v>
      </c>
      <c r="P14" s="404" t="s">
        <v>1051</v>
      </c>
      <c r="Q14" s="404" t="s">
        <v>1051</v>
      </c>
      <c r="R14" s="404" t="s">
        <v>1051</v>
      </c>
      <c r="S14" s="404" t="s">
        <v>1051</v>
      </c>
      <c r="T14" s="404" t="s">
        <v>1051</v>
      </c>
      <c r="U14" s="404" t="s">
        <v>1051</v>
      </c>
      <c r="V14" s="404" t="s">
        <v>1051</v>
      </c>
      <c r="W14" s="404" t="s">
        <v>1051</v>
      </c>
      <c r="X14" s="404" t="s">
        <v>1051</v>
      </c>
      <c r="Y14" s="404" t="s">
        <v>1051</v>
      </c>
    </row>
    <row r="15" spans="3:25" x14ac:dyDescent="0.2">
      <c r="C15" s="68" t="str">
        <f>'G-1 All Habitats'!B13</f>
        <v>Grassland - Traditional orchards</v>
      </c>
      <c r="D15" s="404" t="s">
        <v>1051</v>
      </c>
      <c r="E15" s="404" t="s">
        <v>1051</v>
      </c>
      <c r="F15" s="404">
        <v>5</v>
      </c>
      <c r="G15" s="404">
        <v>10</v>
      </c>
      <c r="H15" s="404">
        <v>20</v>
      </c>
      <c r="I15" s="404">
        <v>25</v>
      </c>
      <c r="J15" s="404">
        <v>30</v>
      </c>
      <c r="K15" s="404" t="s">
        <v>1051</v>
      </c>
      <c r="L15" s="404" t="s">
        <v>1051</v>
      </c>
      <c r="M15" s="404" t="s">
        <v>1051</v>
      </c>
      <c r="N15" s="404" t="s">
        <v>1051</v>
      </c>
      <c r="O15" s="404">
        <v>5</v>
      </c>
      <c r="P15" s="404">
        <v>15</v>
      </c>
      <c r="Q15" s="404">
        <v>20</v>
      </c>
      <c r="R15" s="404">
        <v>25</v>
      </c>
      <c r="S15" s="404">
        <v>10</v>
      </c>
      <c r="T15" s="404">
        <v>15</v>
      </c>
      <c r="U15" s="404">
        <v>20</v>
      </c>
      <c r="V15" s="404">
        <v>5</v>
      </c>
      <c r="W15" s="404">
        <v>10</v>
      </c>
      <c r="X15" s="404">
        <v>5</v>
      </c>
      <c r="Y15" s="404" t="s">
        <v>1051</v>
      </c>
    </row>
    <row r="16" spans="3:25" x14ac:dyDescent="0.2">
      <c r="C16" s="68" t="str">
        <f>'G-1 All Habitats'!B14</f>
        <v>Grassland - Bracken</v>
      </c>
      <c r="D16" s="404" t="s">
        <v>1051</v>
      </c>
      <c r="E16" s="404" t="s">
        <v>1051</v>
      </c>
      <c r="F16" s="404">
        <v>1</v>
      </c>
      <c r="G16" s="404" t="s">
        <v>1051</v>
      </c>
      <c r="H16" s="404" t="s">
        <v>1051</v>
      </c>
      <c r="I16" s="404" t="s">
        <v>1051</v>
      </c>
      <c r="J16" s="404" t="s">
        <v>1051</v>
      </c>
      <c r="K16" s="404" t="s">
        <v>1051</v>
      </c>
      <c r="L16" s="404" t="s">
        <v>1051</v>
      </c>
      <c r="M16" s="404" t="s">
        <v>1051</v>
      </c>
      <c r="N16" s="404" t="s">
        <v>1051</v>
      </c>
      <c r="O16" s="404" t="s">
        <v>1051</v>
      </c>
      <c r="P16" s="404" t="s">
        <v>1051</v>
      </c>
      <c r="Q16" s="404" t="s">
        <v>1051</v>
      </c>
      <c r="R16" s="404" t="s">
        <v>1051</v>
      </c>
      <c r="S16" s="404" t="s">
        <v>1051</v>
      </c>
      <c r="T16" s="404" t="s">
        <v>1051</v>
      </c>
      <c r="U16" s="404" t="s">
        <v>1051</v>
      </c>
      <c r="V16" s="404" t="s">
        <v>1051</v>
      </c>
      <c r="W16" s="404" t="s">
        <v>1051</v>
      </c>
      <c r="X16" s="404" t="s">
        <v>1051</v>
      </c>
      <c r="Y16" s="404" t="s">
        <v>1051</v>
      </c>
    </row>
    <row r="17" spans="3:25" x14ac:dyDescent="0.2">
      <c r="C17" s="68" t="str">
        <f>'G-1 All Habitats'!B15</f>
        <v>Grassland - Floodplain wetland mosaic and CFGM</v>
      </c>
      <c r="D17" s="404" t="s">
        <v>1051</v>
      </c>
      <c r="E17" s="404" t="s">
        <v>1051</v>
      </c>
      <c r="F17" s="404">
        <v>5</v>
      </c>
      <c r="G17" s="404">
        <v>8</v>
      </c>
      <c r="H17" s="404">
        <v>10</v>
      </c>
      <c r="I17" s="404">
        <v>12</v>
      </c>
      <c r="J17" s="404">
        <v>15</v>
      </c>
      <c r="K17" s="404" t="s">
        <v>1051</v>
      </c>
      <c r="L17" s="404" t="s">
        <v>1051</v>
      </c>
      <c r="M17" s="404" t="s">
        <v>1051</v>
      </c>
      <c r="N17" s="404" t="s">
        <v>1051</v>
      </c>
      <c r="O17" s="404">
        <v>8</v>
      </c>
      <c r="P17" s="404">
        <v>10</v>
      </c>
      <c r="Q17" s="404">
        <v>12</v>
      </c>
      <c r="R17" s="404">
        <v>15</v>
      </c>
      <c r="S17" s="404">
        <v>2</v>
      </c>
      <c r="T17" s="404">
        <v>4</v>
      </c>
      <c r="U17" s="404">
        <v>7</v>
      </c>
      <c r="V17" s="404">
        <v>2</v>
      </c>
      <c r="W17" s="404">
        <v>4</v>
      </c>
      <c r="X17" s="404">
        <v>3</v>
      </c>
      <c r="Y17" s="404" t="s">
        <v>1051</v>
      </c>
    </row>
    <row r="18" spans="3:25" x14ac:dyDescent="0.2">
      <c r="C18" s="68" t="str">
        <f>'G-1 All Habitats'!B16</f>
        <v>Grassland - Lowland calcareous grassland</v>
      </c>
      <c r="D18" s="404" t="s">
        <v>1051</v>
      </c>
      <c r="E18" s="404" t="s">
        <v>1051</v>
      </c>
      <c r="F18" s="404">
        <v>10</v>
      </c>
      <c r="G18" s="404">
        <v>15</v>
      </c>
      <c r="H18" s="404">
        <v>20</v>
      </c>
      <c r="I18" s="404">
        <v>25</v>
      </c>
      <c r="J18" s="404">
        <v>30</v>
      </c>
      <c r="K18" s="404" t="s">
        <v>1051</v>
      </c>
      <c r="L18" s="404" t="s">
        <v>1051</v>
      </c>
      <c r="M18" s="404" t="s">
        <v>1051</v>
      </c>
      <c r="N18" s="404" t="s">
        <v>1051</v>
      </c>
      <c r="O18" s="404">
        <v>5</v>
      </c>
      <c r="P18" s="404">
        <v>10</v>
      </c>
      <c r="Q18" s="404">
        <v>15</v>
      </c>
      <c r="R18" s="404">
        <v>20</v>
      </c>
      <c r="S18" s="404">
        <v>5</v>
      </c>
      <c r="T18" s="404">
        <v>10</v>
      </c>
      <c r="U18" s="404">
        <v>15</v>
      </c>
      <c r="V18" s="404">
        <v>5</v>
      </c>
      <c r="W18" s="404">
        <v>10</v>
      </c>
      <c r="X18" s="404">
        <v>5</v>
      </c>
      <c r="Y18" s="404" t="s">
        <v>1051</v>
      </c>
    </row>
    <row r="19" spans="3:25" x14ac:dyDescent="0.2">
      <c r="C19" s="68" t="str">
        <f>'G-1 All Habitats'!B17</f>
        <v>Grassland - Lowland dry acid grassland</v>
      </c>
      <c r="D19" s="404" t="s">
        <v>1051</v>
      </c>
      <c r="E19" s="404" t="s">
        <v>1051</v>
      </c>
      <c r="F19" s="404">
        <v>10</v>
      </c>
      <c r="G19" s="404">
        <v>15</v>
      </c>
      <c r="H19" s="404">
        <v>20</v>
      </c>
      <c r="I19" s="404">
        <v>25</v>
      </c>
      <c r="J19" s="404" t="s">
        <v>1052</v>
      </c>
      <c r="K19" s="404" t="s">
        <v>1051</v>
      </c>
      <c r="L19" s="404" t="s">
        <v>1051</v>
      </c>
      <c r="M19" s="404" t="s">
        <v>1051</v>
      </c>
      <c r="N19" s="404" t="s">
        <v>1051</v>
      </c>
      <c r="O19" s="404">
        <v>5</v>
      </c>
      <c r="P19" s="404">
        <v>15</v>
      </c>
      <c r="Q19" s="404">
        <v>20</v>
      </c>
      <c r="R19" s="404" t="s">
        <v>1052</v>
      </c>
      <c r="S19" s="404">
        <v>8</v>
      </c>
      <c r="T19" s="404">
        <v>15</v>
      </c>
      <c r="U19" s="404">
        <v>25</v>
      </c>
      <c r="V19" s="404">
        <v>10</v>
      </c>
      <c r="W19" s="404">
        <v>20</v>
      </c>
      <c r="X19" s="404">
        <v>10</v>
      </c>
      <c r="Y19" s="404" t="s">
        <v>1051</v>
      </c>
    </row>
    <row r="20" spans="3:25" x14ac:dyDescent="0.2">
      <c r="C20" s="68" t="str">
        <f>'G-1 All Habitats'!B18</f>
        <v>Grassland - Lowland meadows</v>
      </c>
      <c r="D20" s="404" t="s">
        <v>1051</v>
      </c>
      <c r="E20" s="404" t="s">
        <v>1051</v>
      </c>
      <c r="F20" s="404">
        <v>5</v>
      </c>
      <c r="G20" s="404">
        <v>8</v>
      </c>
      <c r="H20" s="404">
        <v>10</v>
      </c>
      <c r="I20" s="404">
        <v>12</v>
      </c>
      <c r="J20" s="404">
        <v>15</v>
      </c>
      <c r="K20" s="404" t="s">
        <v>1051</v>
      </c>
      <c r="L20" s="404" t="s">
        <v>1051</v>
      </c>
      <c r="M20" s="404" t="s">
        <v>1051</v>
      </c>
      <c r="N20" s="404" t="s">
        <v>1051</v>
      </c>
      <c r="O20" s="404">
        <v>4</v>
      </c>
      <c r="P20" s="404">
        <v>8</v>
      </c>
      <c r="Q20" s="404">
        <v>11</v>
      </c>
      <c r="R20" s="404">
        <v>15</v>
      </c>
      <c r="S20" s="404">
        <v>4</v>
      </c>
      <c r="T20" s="404">
        <v>8</v>
      </c>
      <c r="U20" s="404">
        <v>11</v>
      </c>
      <c r="V20" s="404">
        <v>4</v>
      </c>
      <c r="W20" s="404">
        <v>8</v>
      </c>
      <c r="X20" s="404">
        <v>4</v>
      </c>
      <c r="Y20" s="404" t="s">
        <v>1051</v>
      </c>
    </row>
    <row r="21" spans="3:25" x14ac:dyDescent="0.2">
      <c r="C21" s="68" t="str">
        <f>'G-1 All Habitats'!B19</f>
        <v>Grassland - Modified grassland</v>
      </c>
      <c r="D21" s="404" t="s">
        <v>1051</v>
      </c>
      <c r="E21" s="404">
        <v>1</v>
      </c>
      <c r="F21" s="404">
        <v>1</v>
      </c>
      <c r="G21" s="404">
        <v>5</v>
      </c>
      <c r="H21" s="404">
        <v>10</v>
      </c>
      <c r="I21" s="404">
        <v>12</v>
      </c>
      <c r="J21" s="404">
        <v>15</v>
      </c>
      <c r="K21" s="404" t="s">
        <v>1051</v>
      </c>
      <c r="L21" s="404" t="s">
        <v>1051</v>
      </c>
      <c r="M21" s="404" t="s">
        <v>1051</v>
      </c>
      <c r="N21" s="404" t="s">
        <v>1051</v>
      </c>
      <c r="O21" s="404">
        <v>5</v>
      </c>
      <c r="P21" s="404">
        <v>10</v>
      </c>
      <c r="Q21" s="404">
        <v>12</v>
      </c>
      <c r="R21" s="404">
        <v>15</v>
      </c>
      <c r="S21" s="404">
        <v>8</v>
      </c>
      <c r="T21" s="404">
        <v>10</v>
      </c>
      <c r="U21" s="404">
        <v>12</v>
      </c>
      <c r="V21" s="404">
        <v>8</v>
      </c>
      <c r="W21" s="404">
        <v>10</v>
      </c>
      <c r="X21" s="404">
        <v>8</v>
      </c>
      <c r="Y21" s="404" t="s">
        <v>1051</v>
      </c>
    </row>
    <row r="22" spans="3:25" x14ac:dyDescent="0.2">
      <c r="C22" s="68" t="str">
        <f>'G-1 All Habitats'!B20</f>
        <v>Grassland - Other lowland acid grassland</v>
      </c>
      <c r="D22" s="404" t="s">
        <v>1051</v>
      </c>
      <c r="E22" s="404" t="s">
        <v>1051</v>
      </c>
      <c r="F22" s="404">
        <v>1</v>
      </c>
      <c r="G22" s="404">
        <v>5</v>
      </c>
      <c r="H22" s="404">
        <v>10</v>
      </c>
      <c r="I22" s="404">
        <v>12</v>
      </c>
      <c r="J22" s="404">
        <v>15</v>
      </c>
      <c r="K22" s="404" t="s">
        <v>1051</v>
      </c>
      <c r="L22" s="404" t="s">
        <v>1051</v>
      </c>
      <c r="M22" s="404" t="s">
        <v>1051</v>
      </c>
      <c r="N22" s="404" t="s">
        <v>1051</v>
      </c>
      <c r="O22" s="404">
        <v>5</v>
      </c>
      <c r="P22" s="404">
        <v>10</v>
      </c>
      <c r="Q22" s="404">
        <v>12</v>
      </c>
      <c r="R22" s="404">
        <v>15</v>
      </c>
      <c r="S22" s="404">
        <v>8</v>
      </c>
      <c r="T22" s="404">
        <v>10</v>
      </c>
      <c r="U22" s="404">
        <v>12</v>
      </c>
      <c r="V22" s="404">
        <v>8</v>
      </c>
      <c r="W22" s="404">
        <v>10</v>
      </c>
      <c r="X22" s="404">
        <v>8</v>
      </c>
      <c r="Y22" s="404" t="s">
        <v>1051</v>
      </c>
    </row>
    <row r="23" spans="3:25" x14ac:dyDescent="0.2">
      <c r="C23" s="68" t="str">
        <f>'G-1 All Habitats'!B21</f>
        <v>Grassland - Other neutral grassland</v>
      </c>
      <c r="D23" s="404" t="s">
        <v>1051</v>
      </c>
      <c r="E23" s="404" t="s">
        <v>1051</v>
      </c>
      <c r="F23" s="404">
        <v>1</v>
      </c>
      <c r="G23" s="404">
        <v>5</v>
      </c>
      <c r="H23" s="404">
        <v>10</v>
      </c>
      <c r="I23" s="404">
        <v>12</v>
      </c>
      <c r="J23" s="404">
        <v>15</v>
      </c>
      <c r="K23" s="404" t="s">
        <v>1051</v>
      </c>
      <c r="L23" s="404" t="s">
        <v>1051</v>
      </c>
      <c r="M23" s="404" t="s">
        <v>1051</v>
      </c>
      <c r="N23" s="404" t="s">
        <v>1051</v>
      </c>
      <c r="O23" s="404">
        <v>5</v>
      </c>
      <c r="P23" s="404">
        <v>10</v>
      </c>
      <c r="Q23" s="404">
        <v>12</v>
      </c>
      <c r="R23" s="404">
        <v>15</v>
      </c>
      <c r="S23" s="404">
        <v>8</v>
      </c>
      <c r="T23" s="404">
        <v>10</v>
      </c>
      <c r="U23" s="404">
        <v>12</v>
      </c>
      <c r="V23" s="404">
        <v>8</v>
      </c>
      <c r="W23" s="404">
        <v>10</v>
      </c>
      <c r="X23" s="404">
        <v>8</v>
      </c>
      <c r="Y23" s="404" t="s">
        <v>1051</v>
      </c>
    </row>
    <row r="24" spans="3:25" x14ac:dyDescent="0.2">
      <c r="C24" s="68" t="str">
        <f>'G-1 All Habitats'!B22</f>
        <v>Grassland - Tall herb communities (H6430)</v>
      </c>
      <c r="D24" s="404" t="s">
        <v>1051</v>
      </c>
      <c r="E24" s="404" t="s">
        <v>1051</v>
      </c>
      <c r="F24" s="404">
        <v>10</v>
      </c>
      <c r="G24" s="404">
        <v>15</v>
      </c>
      <c r="H24" s="404">
        <v>20</v>
      </c>
      <c r="I24" s="404">
        <v>25</v>
      </c>
      <c r="J24" s="404">
        <v>30</v>
      </c>
      <c r="K24" s="404" t="s">
        <v>1051</v>
      </c>
      <c r="L24" s="404" t="s">
        <v>1051</v>
      </c>
      <c r="M24" s="404" t="s">
        <v>1051</v>
      </c>
      <c r="N24" s="404" t="s">
        <v>1051</v>
      </c>
      <c r="O24" s="404">
        <v>10</v>
      </c>
      <c r="P24" s="404">
        <v>20</v>
      </c>
      <c r="Q24" s="404">
        <v>25</v>
      </c>
      <c r="R24" s="404">
        <v>30</v>
      </c>
      <c r="S24" s="404">
        <v>10</v>
      </c>
      <c r="T24" s="404">
        <v>10</v>
      </c>
      <c r="U24" s="404">
        <v>15</v>
      </c>
      <c r="V24" s="404">
        <v>5</v>
      </c>
      <c r="W24" s="404">
        <v>10</v>
      </c>
      <c r="X24" s="404">
        <v>5</v>
      </c>
      <c r="Y24" s="404" t="s">
        <v>1051</v>
      </c>
    </row>
    <row r="25" spans="3:25" x14ac:dyDescent="0.2">
      <c r="C25" s="68" t="str">
        <f>'G-1 All Habitats'!B23</f>
        <v>Grassland - Upland acid grassland</v>
      </c>
      <c r="D25" s="404" t="s">
        <v>1051</v>
      </c>
      <c r="E25" s="404" t="s">
        <v>1051</v>
      </c>
      <c r="F25" s="404">
        <v>1</v>
      </c>
      <c r="G25" s="404">
        <v>5</v>
      </c>
      <c r="H25" s="404">
        <v>10</v>
      </c>
      <c r="I25" s="404">
        <v>12</v>
      </c>
      <c r="J25" s="404">
        <v>15</v>
      </c>
      <c r="K25" s="404" t="s">
        <v>1051</v>
      </c>
      <c r="L25" s="404" t="s">
        <v>1051</v>
      </c>
      <c r="M25" s="404" t="s">
        <v>1051</v>
      </c>
      <c r="N25" s="404" t="s">
        <v>1051</v>
      </c>
      <c r="O25" s="404">
        <v>5</v>
      </c>
      <c r="P25" s="404">
        <v>10</v>
      </c>
      <c r="Q25" s="404">
        <v>12</v>
      </c>
      <c r="R25" s="404">
        <v>15</v>
      </c>
      <c r="S25" s="404">
        <v>8</v>
      </c>
      <c r="T25" s="404">
        <v>10</v>
      </c>
      <c r="U25" s="404">
        <v>12</v>
      </c>
      <c r="V25" s="404">
        <v>8</v>
      </c>
      <c r="W25" s="404">
        <v>10</v>
      </c>
      <c r="X25" s="404">
        <v>8</v>
      </c>
      <c r="Y25" s="404" t="s">
        <v>1051</v>
      </c>
    </row>
    <row r="26" spans="3:25" x14ac:dyDescent="0.2">
      <c r="C26" s="68" t="str">
        <f>'G-1 All Habitats'!B24</f>
        <v>Grassland - Upland calcareous grassland</v>
      </c>
      <c r="D26" s="404" t="s">
        <v>1051</v>
      </c>
      <c r="E26" s="404" t="s">
        <v>1051</v>
      </c>
      <c r="F26" s="404">
        <v>10</v>
      </c>
      <c r="G26" s="404">
        <v>12</v>
      </c>
      <c r="H26" s="404">
        <v>15</v>
      </c>
      <c r="I26" s="404">
        <v>20</v>
      </c>
      <c r="J26" s="404">
        <v>25</v>
      </c>
      <c r="K26" s="404" t="s">
        <v>1051</v>
      </c>
      <c r="L26" s="404" t="s">
        <v>1051</v>
      </c>
      <c r="M26" s="404" t="s">
        <v>1051</v>
      </c>
      <c r="N26" s="404" t="s">
        <v>1051</v>
      </c>
      <c r="O26" s="404">
        <v>10</v>
      </c>
      <c r="P26" s="404">
        <v>15</v>
      </c>
      <c r="Q26" s="404">
        <v>18</v>
      </c>
      <c r="R26" s="404">
        <v>20</v>
      </c>
      <c r="S26" s="404">
        <v>10</v>
      </c>
      <c r="T26" s="404">
        <v>15</v>
      </c>
      <c r="U26" s="404">
        <v>18</v>
      </c>
      <c r="V26" s="404">
        <v>10</v>
      </c>
      <c r="W26" s="404">
        <v>10</v>
      </c>
      <c r="X26" s="404">
        <v>10</v>
      </c>
      <c r="Y26" s="404" t="s">
        <v>1051</v>
      </c>
    </row>
    <row r="27" spans="3:25" x14ac:dyDescent="0.2">
      <c r="C27" s="68" t="str">
        <f>'G-1 All Habitats'!B25</f>
        <v>Grassland - Upland hay meadows</v>
      </c>
      <c r="D27" s="404" t="s">
        <v>1051</v>
      </c>
      <c r="E27" s="404" t="s">
        <v>1051</v>
      </c>
      <c r="F27" s="404">
        <v>10</v>
      </c>
      <c r="G27" s="404">
        <v>12</v>
      </c>
      <c r="H27" s="404">
        <v>15</v>
      </c>
      <c r="I27" s="404">
        <v>18</v>
      </c>
      <c r="J27" s="404">
        <v>20</v>
      </c>
      <c r="K27" s="404" t="s">
        <v>1051</v>
      </c>
      <c r="L27" s="404" t="s">
        <v>1051</v>
      </c>
      <c r="M27" s="404" t="s">
        <v>1051</v>
      </c>
      <c r="N27" s="404" t="s">
        <v>1051</v>
      </c>
      <c r="O27" s="404">
        <v>10</v>
      </c>
      <c r="P27" s="404">
        <v>15</v>
      </c>
      <c r="Q27" s="404">
        <v>18</v>
      </c>
      <c r="R27" s="404">
        <v>20</v>
      </c>
      <c r="S27" s="404">
        <v>10</v>
      </c>
      <c r="T27" s="404">
        <v>15</v>
      </c>
      <c r="U27" s="404">
        <v>18</v>
      </c>
      <c r="V27" s="404">
        <v>10</v>
      </c>
      <c r="W27" s="404">
        <v>15</v>
      </c>
      <c r="X27" s="404">
        <v>10</v>
      </c>
      <c r="Y27" s="404" t="s">
        <v>1051</v>
      </c>
    </row>
    <row r="28" spans="3:25" x14ac:dyDescent="0.2">
      <c r="C28" s="68" t="str">
        <f>'G-1 All Habitats'!B26</f>
        <v>Heathland and shrub - Blackthorn scrub</v>
      </c>
      <c r="D28" s="404" t="s">
        <v>1051</v>
      </c>
      <c r="E28" s="404" t="s">
        <v>1051</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1051</v>
      </c>
    </row>
    <row r="29" spans="3:25" x14ac:dyDescent="0.2">
      <c r="C29" s="68" t="str">
        <f>'G-1 All Habitats'!B27</f>
        <v>Heathland and shrub - Bramble scrub</v>
      </c>
      <c r="D29" s="404" t="s">
        <v>1051</v>
      </c>
      <c r="E29" s="404" t="s">
        <v>1051</v>
      </c>
      <c r="F29" s="404">
        <v>1</v>
      </c>
      <c r="G29" s="404" t="s">
        <v>1051</v>
      </c>
      <c r="H29" s="404" t="s">
        <v>1051</v>
      </c>
      <c r="I29" s="404" t="s">
        <v>1051</v>
      </c>
      <c r="J29" s="404" t="s">
        <v>1051</v>
      </c>
      <c r="K29" s="404" t="s">
        <v>1051</v>
      </c>
      <c r="L29" s="404" t="s">
        <v>1051</v>
      </c>
      <c r="M29" s="404" t="s">
        <v>1051</v>
      </c>
      <c r="N29" s="404" t="s">
        <v>1051</v>
      </c>
      <c r="O29" s="404" t="s">
        <v>1051</v>
      </c>
      <c r="P29" s="404" t="s">
        <v>1051</v>
      </c>
      <c r="Q29" s="404" t="s">
        <v>1051</v>
      </c>
      <c r="R29" s="404" t="s">
        <v>1051</v>
      </c>
      <c r="S29" s="404" t="s">
        <v>1051</v>
      </c>
      <c r="T29" s="404" t="s">
        <v>1051</v>
      </c>
      <c r="U29" s="404" t="s">
        <v>1051</v>
      </c>
      <c r="V29" s="404" t="s">
        <v>1051</v>
      </c>
      <c r="W29" s="404" t="s">
        <v>1051</v>
      </c>
      <c r="X29" s="404" t="s">
        <v>1051</v>
      </c>
      <c r="Y29" s="404" t="s">
        <v>1051</v>
      </c>
    </row>
    <row r="30" spans="3:25" x14ac:dyDescent="0.2">
      <c r="C30" s="68" t="str">
        <f>'G-1 All Habitats'!B28</f>
        <v>Heathland and shrub - Gorse scrub</v>
      </c>
      <c r="D30" s="404" t="s">
        <v>1051</v>
      </c>
      <c r="E30" s="404" t="s">
        <v>1051</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1051</v>
      </c>
    </row>
    <row r="31" spans="3:25" x14ac:dyDescent="0.2">
      <c r="C31" s="68" t="str">
        <f>'G-1 All Habitats'!B29</f>
        <v>Heathland and shrub - Hawthorn scrub</v>
      </c>
      <c r="D31" s="404" t="s">
        <v>1051</v>
      </c>
      <c r="E31" s="404" t="s">
        <v>1051</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1051</v>
      </c>
    </row>
    <row r="32" spans="3:25" x14ac:dyDescent="0.2">
      <c r="C32" s="68" t="str">
        <f>'G-1 All Habitats'!B30</f>
        <v>Heathland and shrub - Hazel scrub</v>
      </c>
      <c r="D32" s="404" t="s">
        <v>1051</v>
      </c>
      <c r="E32" s="404" t="s">
        <v>1051</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1051</v>
      </c>
    </row>
    <row r="33" spans="3:25" x14ac:dyDescent="0.2">
      <c r="C33" s="68" t="s">
        <v>609</v>
      </c>
      <c r="D33" s="404" t="s">
        <v>1051</v>
      </c>
      <c r="E33" s="404" t="s">
        <v>1051</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1051</v>
      </c>
    </row>
    <row r="34" spans="3:25" x14ac:dyDescent="0.2">
      <c r="C34" s="68" t="str">
        <f>'G-1 All Habitats'!B31</f>
        <v>Heathland and shrub - Lowland heathland</v>
      </c>
      <c r="D34" s="404" t="s">
        <v>1051</v>
      </c>
      <c r="E34" s="404" t="s">
        <v>1051</v>
      </c>
      <c r="F34" s="404">
        <v>10</v>
      </c>
      <c r="G34" s="404">
        <v>15</v>
      </c>
      <c r="H34" s="404">
        <v>20</v>
      </c>
      <c r="I34" s="404">
        <v>25</v>
      </c>
      <c r="J34" s="404" t="s">
        <v>1052</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1051</v>
      </c>
    </row>
    <row r="35" spans="3:25" x14ac:dyDescent="0.2">
      <c r="C35" s="68" t="str">
        <f>'G-1 All Habitats'!B32</f>
        <v>Heathland and shrub - Mixed scrub</v>
      </c>
      <c r="D35" s="404" t="s">
        <v>1051</v>
      </c>
      <c r="E35" s="404" t="s">
        <v>1051</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1051</v>
      </c>
    </row>
    <row r="36" spans="3:25" x14ac:dyDescent="0.2">
      <c r="C36" s="68" t="str">
        <f>'G-1 All Habitats'!B33</f>
        <v>Heathland and shrub - Mountain heaths and willow scrub</v>
      </c>
      <c r="D36" s="404" t="s">
        <v>1051</v>
      </c>
      <c r="E36" s="404" t="s">
        <v>1051</v>
      </c>
      <c r="F36" s="404">
        <v>15</v>
      </c>
      <c r="G36" s="404">
        <v>23</v>
      </c>
      <c r="H36" s="404">
        <v>25</v>
      </c>
      <c r="I36" s="404" t="s">
        <v>1052</v>
      </c>
      <c r="J36" s="404" t="s">
        <v>1052</v>
      </c>
      <c r="K36" s="404">
        <v>20</v>
      </c>
      <c r="L36" s="404" t="s">
        <v>1052</v>
      </c>
      <c r="M36" s="404" t="s">
        <v>1052</v>
      </c>
      <c r="N36" s="404" t="s">
        <v>1052</v>
      </c>
      <c r="O36" s="404">
        <v>20</v>
      </c>
      <c r="P36" s="404" t="s">
        <v>1052</v>
      </c>
      <c r="Q36" s="404" t="s">
        <v>1052</v>
      </c>
      <c r="R36" s="404" t="s">
        <v>1052</v>
      </c>
      <c r="S36" s="404">
        <v>20</v>
      </c>
      <c r="T36" s="404" t="s">
        <v>1052</v>
      </c>
      <c r="U36" s="404" t="s">
        <v>1052</v>
      </c>
      <c r="V36" s="404">
        <v>20</v>
      </c>
      <c r="W36" s="404" t="s">
        <v>1052</v>
      </c>
      <c r="X36" s="404">
        <v>20</v>
      </c>
      <c r="Y36" s="404" t="s">
        <v>1051</v>
      </c>
    </row>
    <row r="37" spans="3:25" x14ac:dyDescent="0.2">
      <c r="C37" s="68" t="str">
        <f>'G-1 All Habitats'!B34</f>
        <v>Heathland and shrub - Rhododendron scrub</v>
      </c>
      <c r="D37" s="404" t="s">
        <v>1051</v>
      </c>
      <c r="E37" s="404" t="s">
        <v>1051</v>
      </c>
      <c r="F37" s="404">
        <v>1</v>
      </c>
      <c r="G37" s="404" t="s">
        <v>1051</v>
      </c>
      <c r="H37" s="404" t="s">
        <v>1051</v>
      </c>
      <c r="I37" s="404" t="s">
        <v>1051</v>
      </c>
      <c r="J37" s="404" t="s">
        <v>1051</v>
      </c>
      <c r="K37" s="404" t="s">
        <v>1051</v>
      </c>
      <c r="L37" s="404" t="s">
        <v>1051</v>
      </c>
      <c r="M37" s="404" t="s">
        <v>1051</v>
      </c>
      <c r="N37" s="404" t="s">
        <v>1051</v>
      </c>
      <c r="O37" s="404" t="s">
        <v>1051</v>
      </c>
      <c r="P37" s="404" t="s">
        <v>1051</v>
      </c>
      <c r="Q37" s="404" t="s">
        <v>1051</v>
      </c>
      <c r="R37" s="404" t="s">
        <v>1051</v>
      </c>
      <c r="S37" s="404" t="s">
        <v>1051</v>
      </c>
      <c r="T37" s="404" t="s">
        <v>1051</v>
      </c>
      <c r="U37" s="404" t="s">
        <v>1051</v>
      </c>
      <c r="V37" s="404" t="s">
        <v>1051</v>
      </c>
      <c r="W37" s="404" t="s">
        <v>1051</v>
      </c>
      <c r="X37" s="404" t="s">
        <v>1051</v>
      </c>
      <c r="Y37" s="404" t="s">
        <v>1051</v>
      </c>
    </row>
    <row r="38" spans="3:25" x14ac:dyDescent="0.2">
      <c r="C38" s="68" t="str">
        <f>'G-1 All Habitats'!B35</f>
        <v>Heathland and shrub - Dunes with sea buckthorn (H2160)</v>
      </c>
      <c r="D38" s="404" t="s">
        <v>1051</v>
      </c>
      <c r="E38" s="404" t="s">
        <v>1051</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1051</v>
      </c>
    </row>
    <row r="39" spans="3:25" x14ac:dyDescent="0.2">
      <c r="C39" s="68" t="str">
        <f>'G-1 All Habitats'!B36</f>
        <v>Heathland and shrub - Other sea buckthorn scrub</v>
      </c>
      <c r="D39" s="404" t="s">
        <v>1051</v>
      </c>
      <c r="E39" s="404" t="s">
        <v>1051</v>
      </c>
      <c r="F39" s="404" t="s">
        <v>1051</v>
      </c>
      <c r="G39" s="404" t="s">
        <v>1051</v>
      </c>
      <c r="H39" s="404" t="s">
        <v>1051</v>
      </c>
      <c r="I39" s="404" t="s">
        <v>1051</v>
      </c>
      <c r="J39" s="404" t="s">
        <v>1051</v>
      </c>
      <c r="K39" s="404" t="s">
        <v>1051</v>
      </c>
      <c r="L39" s="404" t="s">
        <v>1051</v>
      </c>
      <c r="M39" s="404" t="s">
        <v>1051</v>
      </c>
      <c r="N39" s="404" t="s">
        <v>1051</v>
      </c>
      <c r="O39" s="404" t="s">
        <v>1051</v>
      </c>
      <c r="P39" s="404" t="s">
        <v>1051</v>
      </c>
      <c r="Q39" s="404" t="s">
        <v>1051</v>
      </c>
      <c r="R39" s="404" t="s">
        <v>1051</v>
      </c>
      <c r="S39" s="404" t="s">
        <v>1051</v>
      </c>
      <c r="T39" s="404" t="s">
        <v>1051</v>
      </c>
      <c r="U39" s="404" t="s">
        <v>1051</v>
      </c>
      <c r="V39" s="404" t="s">
        <v>1051</v>
      </c>
      <c r="W39" s="404" t="s">
        <v>1051</v>
      </c>
      <c r="X39" s="404" t="s">
        <v>1051</v>
      </c>
      <c r="Y39" s="404" t="s">
        <v>1051</v>
      </c>
    </row>
    <row r="40" spans="3:25" x14ac:dyDescent="0.2">
      <c r="C40" s="68" t="str">
        <f>'G-1 All Habitats'!B38</f>
        <v>Heathland and shrub - Upland heathland</v>
      </c>
      <c r="D40" s="404" t="s">
        <v>1051</v>
      </c>
      <c r="E40" s="404" t="s">
        <v>1051</v>
      </c>
      <c r="F40" s="404">
        <v>10</v>
      </c>
      <c r="G40" s="404">
        <v>15</v>
      </c>
      <c r="H40" s="404">
        <v>20</v>
      </c>
      <c r="I40" s="404">
        <v>25</v>
      </c>
      <c r="J40" s="404">
        <v>30</v>
      </c>
      <c r="K40" s="404" t="s">
        <v>1051</v>
      </c>
      <c r="L40" s="404" t="s">
        <v>1051</v>
      </c>
      <c r="M40" s="404" t="s">
        <v>1051</v>
      </c>
      <c r="N40" s="404" t="s">
        <v>1051</v>
      </c>
      <c r="O40" s="404">
        <v>10</v>
      </c>
      <c r="P40" s="404">
        <v>20</v>
      </c>
      <c r="Q40" s="404">
        <v>30</v>
      </c>
      <c r="R40" s="404" t="s">
        <v>1052</v>
      </c>
      <c r="S40" s="404">
        <v>10</v>
      </c>
      <c r="T40" s="404">
        <v>20</v>
      </c>
      <c r="U40" s="404">
        <v>30</v>
      </c>
      <c r="V40" s="404">
        <v>10</v>
      </c>
      <c r="W40" s="404">
        <v>20</v>
      </c>
      <c r="X40" s="404">
        <v>10</v>
      </c>
      <c r="Y40" s="404" t="s">
        <v>1051</v>
      </c>
    </row>
    <row r="41" spans="3:25" x14ac:dyDescent="0.2">
      <c r="C41" s="68" t="str">
        <f>'G-1 All Habitats'!B39</f>
        <v>Lakes - Aquifer fed naturally fluctuating water bodies</v>
      </c>
      <c r="D41" s="404" t="s">
        <v>1051</v>
      </c>
      <c r="E41" s="404" t="s">
        <v>1051</v>
      </c>
      <c r="F41" s="404">
        <v>1</v>
      </c>
      <c r="G41" s="404">
        <v>10</v>
      </c>
      <c r="H41" s="404">
        <v>15</v>
      </c>
      <c r="I41" s="404">
        <v>20</v>
      </c>
      <c r="J41" s="404">
        <v>30</v>
      </c>
      <c r="K41" s="404" t="s">
        <v>1051</v>
      </c>
      <c r="L41" s="404" t="s">
        <v>1051</v>
      </c>
      <c r="M41" s="404" t="s">
        <v>1051</v>
      </c>
      <c r="N41" s="404" t="s">
        <v>1051</v>
      </c>
      <c r="O41" s="404">
        <v>5</v>
      </c>
      <c r="P41" s="404">
        <v>10</v>
      </c>
      <c r="Q41" s="404">
        <v>15</v>
      </c>
      <c r="R41" s="404">
        <v>30</v>
      </c>
      <c r="S41" s="404">
        <v>5</v>
      </c>
      <c r="T41" s="404">
        <v>15</v>
      </c>
      <c r="U41" s="404">
        <v>25</v>
      </c>
      <c r="V41" s="404">
        <v>5</v>
      </c>
      <c r="W41" s="404">
        <v>20</v>
      </c>
      <c r="X41" s="404">
        <v>5</v>
      </c>
      <c r="Y41" s="404" t="s">
        <v>1051</v>
      </c>
    </row>
    <row r="42" spans="3:25" x14ac:dyDescent="0.2">
      <c r="C42" s="68" t="str">
        <f>'G-1 All Habitats'!B41</f>
        <v>Lakes - High alkalinity lakes</v>
      </c>
      <c r="D42" s="404" t="s">
        <v>1051</v>
      </c>
      <c r="E42" s="404" t="s">
        <v>1051</v>
      </c>
      <c r="F42" s="404">
        <v>2</v>
      </c>
      <c r="G42" s="404">
        <v>3</v>
      </c>
      <c r="H42" s="404">
        <v>5</v>
      </c>
      <c r="I42" s="404">
        <v>7</v>
      </c>
      <c r="J42" s="404">
        <v>10</v>
      </c>
      <c r="K42" s="404" t="s">
        <v>1051</v>
      </c>
      <c r="L42" s="404" t="s">
        <v>1051</v>
      </c>
      <c r="M42" s="404" t="s">
        <v>1051</v>
      </c>
      <c r="N42" s="404" t="s">
        <v>1051</v>
      </c>
      <c r="O42" s="404">
        <v>5</v>
      </c>
      <c r="P42" s="404">
        <v>10</v>
      </c>
      <c r="Q42" s="404">
        <v>15</v>
      </c>
      <c r="R42" s="404">
        <v>30</v>
      </c>
      <c r="S42" s="404">
        <v>5</v>
      </c>
      <c r="T42" s="404">
        <v>15</v>
      </c>
      <c r="U42" s="404">
        <v>25</v>
      </c>
      <c r="V42" s="404">
        <v>10</v>
      </c>
      <c r="W42" s="404">
        <v>20</v>
      </c>
      <c r="X42" s="404">
        <v>10</v>
      </c>
      <c r="Y42" s="404" t="s">
        <v>1051</v>
      </c>
    </row>
    <row r="43" spans="3:25" x14ac:dyDescent="0.2">
      <c r="C43" s="68" t="str">
        <f>'G-1 All Habitats'!B42</f>
        <v>Lakes - Low alkalinity lakes</v>
      </c>
      <c r="D43" s="404" t="s">
        <v>1051</v>
      </c>
      <c r="E43" s="404" t="s">
        <v>1051</v>
      </c>
      <c r="F43" s="404">
        <v>5</v>
      </c>
      <c r="G43" s="404">
        <v>10</v>
      </c>
      <c r="H43" s="404">
        <v>15</v>
      </c>
      <c r="I43" s="404">
        <v>20</v>
      </c>
      <c r="J43" s="404">
        <v>30</v>
      </c>
      <c r="K43" s="404" t="s">
        <v>1051</v>
      </c>
      <c r="L43" s="404" t="s">
        <v>1051</v>
      </c>
      <c r="M43" s="404" t="s">
        <v>1051</v>
      </c>
      <c r="N43" s="404" t="s">
        <v>1051</v>
      </c>
      <c r="O43" s="404">
        <v>5</v>
      </c>
      <c r="P43" s="404">
        <v>10</v>
      </c>
      <c r="Q43" s="404">
        <v>15</v>
      </c>
      <c r="R43" s="404">
        <v>20</v>
      </c>
      <c r="S43" s="404">
        <v>5</v>
      </c>
      <c r="T43" s="404">
        <v>10</v>
      </c>
      <c r="U43" s="404">
        <v>15</v>
      </c>
      <c r="V43" s="404">
        <v>5</v>
      </c>
      <c r="W43" s="404">
        <v>10</v>
      </c>
      <c r="X43" s="404">
        <v>5</v>
      </c>
      <c r="Y43" s="404" t="s">
        <v>1051</v>
      </c>
    </row>
    <row r="44" spans="3:25" x14ac:dyDescent="0.2">
      <c r="C44" s="68" t="str">
        <f>'G-1 All Habitats'!B43</f>
        <v>Lakes - Marl lakes</v>
      </c>
      <c r="D44" s="404" t="s">
        <v>1051</v>
      </c>
      <c r="E44" s="404" t="s">
        <v>1051</v>
      </c>
      <c r="F44" s="404">
        <v>5</v>
      </c>
      <c r="G44" s="404">
        <v>7</v>
      </c>
      <c r="H44" s="404">
        <v>10</v>
      </c>
      <c r="I44" s="404">
        <v>15</v>
      </c>
      <c r="J44" s="404">
        <v>20</v>
      </c>
      <c r="K44" s="404" t="s">
        <v>1051</v>
      </c>
      <c r="L44" s="404" t="s">
        <v>1051</v>
      </c>
      <c r="M44" s="404" t="s">
        <v>1051</v>
      </c>
      <c r="N44" s="404" t="s">
        <v>1051</v>
      </c>
      <c r="O44" s="404">
        <v>5</v>
      </c>
      <c r="P44" s="404">
        <v>10</v>
      </c>
      <c r="Q44" s="404">
        <v>15</v>
      </c>
      <c r="R44" s="404">
        <v>30</v>
      </c>
      <c r="S44" s="404">
        <v>5</v>
      </c>
      <c r="T44" s="404">
        <v>15</v>
      </c>
      <c r="U44" s="404">
        <v>25</v>
      </c>
      <c r="V44" s="404">
        <v>10</v>
      </c>
      <c r="W44" s="404">
        <v>20</v>
      </c>
      <c r="X44" s="404">
        <v>10</v>
      </c>
      <c r="Y44" s="404" t="s">
        <v>1051</v>
      </c>
    </row>
    <row r="45" spans="3:25" x14ac:dyDescent="0.2">
      <c r="C45" s="68" t="str">
        <f>'G-1 All Habitats'!B44</f>
        <v>Lakes - Moderate alkalinity lakes</v>
      </c>
      <c r="D45" s="404" t="s">
        <v>1051</v>
      </c>
      <c r="E45" s="404" t="s">
        <v>1051</v>
      </c>
      <c r="F45" s="404">
        <v>5</v>
      </c>
      <c r="G45" s="404">
        <v>7</v>
      </c>
      <c r="H45" s="404">
        <v>10</v>
      </c>
      <c r="I45" s="404">
        <v>15</v>
      </c>
      <c r="J45" s="404">
        <v>20</v>
      </c>
      <c r="K45" s="404" t="s">
        <v>1051</v>
      </c>
      <c r="L45" s="404" t="s">
        <v>1051</v>
      </c>
      <c r="M45" s="404" t="s">
        <v>1051</v>
      </c>
      <c r="N45" s="404" t="s">
        <v>1051</v>
      </c>
      <c r="O45" s="404">
        <v>5</v>
      </c>
      <c r="P45" s="404">
        <v>10</v>
      </c>
      <c r="Q45" s="404">
        <v>15</v>
      </c>
      <c r="R45" s="404">
        <v>30</v>
      </c>
      <c r="S45" s="404">
        <v>5</v>
      </c>
      <c r="T45" s="404">
        <v>15</v>
      </c>
      <c r="U45" s="404">
        <v>25</v>
      </c>
      <c r="V45" s="404">
        <v>10</v>
      </c>
      <c r="W45" s="404">
        <v>20</v>
      </c>
      <c r="X45" s="404">
        <v>10</v>
      </c>
      <c r="Y45" s="404" t="s">
        <v>1051</v>
      </c>
    </row>
    <row r="46" spans="3:25" x14ac:dyDescent="0.2">
      <c r="C46" s="68" t="str">
        <f>'G-1 All Habitats'!B45</f>
        <v>Lakes - Peat lakes</v>
      </c>
      <c r="D46" s="404" t="s">
        <v>1051</v>
      </c>
      <c r="E46" s="404" t="s">
        <v>1051</v>
      </c>
      <c r="F46" s="404">
        <v>5</v>
      </c>
      <c r="G46" s="404">
        <v>10</v>
      </c>
      <c r="H46" s="404">
        <v>15</v>
      </c>
      <c r="I46" s="404">
        <v>20</v>
      </c>
      <c r="J46" s="404">
        <v>30</v>
      </c>
      <c r="K46" s="404" t="s">
        <v>1051</v>
      </c>
      <c r="L46" s="404" t="s">
        <v>1051</v>
      </c>
      <c r="M46" s="404" t="s">
        <v>1051</v>
      </c>
      <c r="N46" s="404" t="s">
        <v>1051</v>
      </c>
      <c r="O46" s="404">
        <v>5</v>
      </c>
      <c r="P46" s="404">
        <v>10</v>
      </c>
      <c r="Q46" s="404">
        <v>15</v>
      </c>
      <c r="R46" s="404">
        <v>30</v>
      </c>
      <c r="S46" s="404">
        <v>5</v>
      </c>
      <c r="T46" s="404">
        <v>15</v>
      </c>
      <c r="U46" s="404">
        <v>25</v>
      </c>
      <c r="V46" s="404">
        <v>10</v>
      </c>
      <c r="W46" s="404">
        <v>20</v>
      </c>
      <c r="X46" s="404">
        <v>10</v>
      </c>
      <c r="Y46" s="404" t="s">
        <v>1051</v>
      </c>
    </row>
    <row r="47" spans="3:25" x14ac:dyDescent="0.2">
      <c r="C47" s="68" t="str">
        <f>'G-1 All Habitats'!B46</f>
        <v>Lakes - Ponds (priority habitat)</v>
      </c>
      <c r="D47" s="404" t="s">
        <v>1051</v>
      </c>
      <c r="E47" s="404" t="s">
        <v>1051</v>
      </c>
      <c r="F47" s="404">
        <v>2</v>
      </c>
      <c r="G47" s="404">
        <v>3</v>
      </c>
      <c r="H47" s="404">
        <v>5</v>
      </c>
      <c r="I47" s="404">
        <v>7</v>
      </c>
      <c r="J47" s="404">
        <v>10</v>
      </c>
      <c r="K47" s="404" t="s">
        <v>1051</v>
      </c>
      <c r="L47" s="404" t="s">
        <v>1051</v>
      </c>
      <c r="M47" s="404" t="s">
        <v>1051</v>
      </c>
      <c r="N47" s="404" t="s">
        <v>1051</v>
      </c>
      <c r="O47" s="404">
        <v>2</v>
      </c>
      <c r="P47" s="404">
        <v>4</v>
      </c>
      <c r="Q47" s="404">
        <v>6</v>
      </c>
      <c r="R47" s="404">
        <v>8</v>
      </c>
      <c r="S47" s="404">
        <v>2</v>
      </c>
      <c r="T47" s="404">
        <v>4</v>
      </c>
      <c r="U47" s="404">
        <v>6</v>
      </c>
      <c r="V47" s="404">
        <v>2</v>
      </c>
      <c r="W47" s="404">
        <v>4</v>
      </c>
      <c r="X47" s="404">
        <v>2</v>
      </c>
      <c r="Y47" s="404" t="s">
        <v>1051</v>
      </c>
    </row>
    <row r="48" spans="3:25" x14ac:dyDescent="0.2">
      <c r="C48" s="68" t="str">
        <f>'G-1 All Habitats'!B47</f>
        <v>Lakes - Ponds (non-priority habitat)</v>
      </c>
      <c r="D48" s="404" t="s">
        <v>1051</v>
      </c>
      <c r="E48" s="404" t="s">
        <v>1051</v>
      </c>
      <c r="F48" s="404">
        <v>1</v>
      </c>
      <c r="G48" s="404">
        <v>2</v>
      </c>
      <c r="H48" s="404">
        <v>3</v>
      </c>
      <c r="I48" s="404">
        <v>4</v>
      </c>
      <c r="J48" s="404">
        <v>5</v>
      </c>
      <c r="K48" s="404" t="s">
        <v>1051</v>
      </c>
      <c r="L48" s="404" t="s">
        <v>1051</v>
      </c>
      <c r="M48" s="404" t="s">
        <v>1051</v>
      </c>
      <c r="N48" s="404" t="s">
        <v>1051</v>
      </c>
      <c r="O48" s="404">
        <v>2</v>
      </c>
      <c r="P48" s="404">
        <v>4</v>
      </c>
      <c r="Q48" s="404">
        <v>6</v>
      </c>
      <c r="R48" s="404">
        <v>8</v>
      </c>
      <c r="S48" s="404">
        <v>2</v>
      </c>
      <c r="T48" s="404">
        <v>4</v>
      </c>
      <c r="U48" s="404">
        <v>6</v>
      </c>
      <c r="V48" s="404">
        <v>2</v>
      </c>
      <c r="W48" s="404">
        <v>4</v>
      </c>
      <c r="X48" s="404">
        <v>2</v>
      </c>
      <c r="Y48" s="404" t="s">
        <v>1051</v>
      </c>
    </row>
    <row r="49" spans="3:25" x14ac:dyDescent="0.2">
      <c r="C49" s="68" t="str">
        <f>'G-1 All Habitats'!B48</f>
        <v>Lakes - Reservoirs</v>
      </c>
      <c r="D49" s="404" t="s">
        <v>1051</v>
      </c>
      <c r="E49" s="404" t="s">
        <v>1051</v>
      </c>
      <c r="F49" s="404">
        <v>1</v>
      </c>
      <c r="G49" s="404">
        <v>3</v>
      </c>
      <c r="H49" s="404">
        <v>5</v>
      </c>
      <c r="I49" s="404">
        <v>7</v>
      </c>
      <c r="J49" s="404">
        <v>10</v>
      </c>
      <c r="K49" s="404" t="s">
        <v>1051</v>
      </c>
      <c r="L49" s="404" t="s">
        <v>1051</v>
      </c>
      <c r="M49" s="404" t="s">
        <v>1051</v>
      </c>
      <c r="N49" s="404" t="s">
        <v>1051</v>
      </c>
      <c r="O49" s="404">
        <v>5</v>
      </c>
      <c r="P49" s="404">
        <v>10</v>
      </c>
      <c r="Q49" s="404">
        <v>15</v>
      </c>
      <c r="R49" s="404">
        <v>30</v>
      </c>
      <c r="S49" s="404">
        <v>5</v>
      </c>
      <c r="T49" s="404">
        <v>15</v>
      </c>
      <c r="U49" s="404">
        <v>25</v>
      </c>
      <c r="V49" s="404">
        <v>10</v>
      </c>
      <c r="W49" s="404">
        <v>20</v>
      </c>
      <c r="X49" s="404">
        <v>10</v>
      </c>
      <c r="Y49" s="404" t="s">
        <v>1051</v>
      </c>
    </row>
    <row r="50" spans="3:25" x14ac:dyDescent="0.2">
      <c r="C50" s="68" t="str">
        <f>'G-1 All Habitats'!B49</f>
        <v>Lakes - Temporary lakes ponds and pools (H3170)</v>
      </c>
      <c r="D50" s="404" t="s">
        <v>1051</v>
      </c>
      <c r="E50" s="404" t="s">
        <v>1051</v>
      </c>
      <c r="F50" s="404">
        <v>2</v>
      </c>
      <c r="G50" s="404">
        <v>3</v>
      </c>
      <c r="H50" s="404">
        <v>5</v>
      </c>
      <c r="I50" s="404">
        <v>7</v>
      </c>
      <c r="J50" s="404">
        <v>10</v>
      </c>
      <c r="K50" s="404" t="s">
        <v>1051</v>
      </c>
      <c r="L50" s="404" t="s">
        <v>1051</v>
      </c>
      <c r="M50" s="404" t="s">
        <v>1051</v>
      </c>
      <c r="N50" s="404" t="s">
        <v>1051</v>
      </c>
      <c r="O50" s="404">
        <v>2</v>
      </c>
      <c r="P50" s="404">
        <v>4</v>
      </c>
      <c r="Q50" s="404">
        <v>6</v>
      </c>
      <c r="R50" s="404">
        <v>8</v>
      </c>
      <c r="S50" s="404">
        <v>2</v>
      </c>
      <c r="T50" s="404">
        <v>4</v>
      </c>
      <c r="U50" s="404">
        <v>6</v>
      </c>
      <c r="V50" s="404">
        <v>2</v>
      </c>
      <c r="W50" s="404">
        <v>4</v>
      </c>
      <c r="X50" s="404">
        <v>2</v>
      </c>
      <c r="Y50" s="404" t="s">
        <v>1051</v>
      </c>
    </row>
    <row r="51" spans="3:25" x14ac:dyDescent="0.2">
      <c r="C51" s="68" t="str">
        <f>'G-1 All Habitats'!B50</f>
        <v>Sparsely vegetated land - Calaminarian grasslands</v>
      </c>
      <c r="D51" s="404" t="s">
        <v>1051</v>
      </c>
      <c r="E51" s="404" t="s">
        <v>1051</v>
      </c>
      <c r="F51" s="404">
        <v>2</v>
      </c>
      <c r="G51" s="404">
        <v>3</v>
      </c>
      <c r="H51" s="404">
        <v>5</v>
      </c>
      <c r="I51" s="404">
        <v>7</v>
      </c>
      <c r="J51" s="404">
        <v>10</v>
      </c>
      <c r="K51" s="404" t="s">
        <v>1051</v>
      </c>
      <c r="L51" s="404" t="s">
        <v>1051</v>
      </c>
      <c r="M51" s="404" t="s">
        <v>1051</v>
      </c>
      <c r="N51" s="404" t="s">
        <v>1051</v>
      </c>
      <c r="O51" s="404">
        <v>1</v>
      </c>
      <c r="P51" s="404">
        <v>3</v>
      </c>
      <c r="Q51" s="404">
        <v>5</v>
      </c>
      <c r="R51" s="404">
        <v>8</v>
      </c>
      <c r="S51" s="404">
        <v>1</v>
      </c>
      <c r="T51" s="404">
        <v>4</v>
      </c>
      <c r="U51" s="404">
        <v>7</v>
      </c>
      <c r="V51" s="404">
        <v>2</v>
      </c>
      <c r="W51" s="404">
        <v>5</v>
      </c>
      <c r="X51" s="404">
        <v>3</v>
      </c>
      <c r="Y51" s="404" t="s">
        <v>1051</v>
      </c>
    </row>
    <row r="52" spans="3:25" x14ac:dyDescent="0.2">
      <c r="C52" s="68" t="str">
        <f>'G-1 All Habitats'!B51</f>
        <v>Sparsely vegetated land - Coastal sand dunes</v>
      </c>
      <c r="D52" s="404" t="s">
        <v>1051</v>
      </c>
      <c r="E52" s="404" t="s">
        <v>1051</v>
      </c>
      <c r="F52" s="404">
        <v>5</v>
      </c>
      <c r="G52" s="404">
        <v>7</v>
      </c>
      <c r="H52" s="404">
        <v>10</v>
      </c>
      <c r="I52" s="404">
        <v>15</v>
      </c>
      <c r="J52" s="404">
        <v>20</v>
      </c>
      <c r="K52" s="404" t="s">
        <v>1051</v>
      </c>
      <c r="L52" s="404" t="s">
        <v>1051</v>
      </c>
      <c r="M52" s="404" t="s">
        <v>1051</v>
      </c>
      <c r="N52" s="404" t="s">
        <v>1051</v>
      </c>
      <c r="O52" s="404">
        <v>5</v>
      </c>
      <c r="P52" s="404">
        <v>8</v>
      </c>
      <c r="Q52" s="404">
        <v>15</v>
      </c>
      <c r="R52" s="404">
        <v>20</v>
      </c>
      <c r="S52" s="404">
        <v>5</v>
      </c>
      <c r="T52" s="404">
        <v>10</v>
      </c>
      <c r="U52" s="404">
        <v>18</v>
      </c>
      <c r="V52" s="404">
        <v>7</v>
      </c>
      <c r="W52" s="404">
        <v>12</v>
      </c>
      <c r="X52" s="404">
        <v>8</v>
      </c>
      <c r="Y52" s="404" t="s">
        <v>1051</v>
      </c>
    </row>
    <row r="53" spans="3:25" x14ac:dyDescent="0.2">
      <c r="C53" s="68" t="str">
        <f>'G-1 All Habitats'!B52</f>
        <v>Sparsely vegetated land - Coastal vegetated shingle</v>
      </c>
      <c r="D53" s="404" t="s">
        <v>1051</v>
      </c>
      <c r="E53" s="404" t="s">
        <v>1051</v>
      </c>
      <c r="F53" s="404">
        <v>5</v>
      </c>
      <c r="G53" s="404">
        <v>7</v>
      </c>
      <c r="H53" s="404">
        <v>10</v>
      </c>
      <c r="I53" s="404">
        <v>15</v>
      </c>
      <c r="J53" s="404">
        <v>20</v>
      </c>
      <c r="K53" s="404" t="s">
        <v>1051</v>
      </c>
      <c r="L53" s="404" t="s">
        <v>1051</v>
      </c>
      <c r="M53" s="404" t="s">
        <v>1051</v>
      </c>
      <c r="N53" s="404" t="s">
        <v>1051</v>
      </c>
      <c r="O53" s="404">
        <v>5</v>
      </c>
      <c r="P53" s="404">
        <v>8</v>
      </c>
      <c r="Q53" s="404">
        <v>15</v>
      </c>
      <c r="R53" s="404">
        <v>20</v>
      </c>
      <c r="S53" s="404">
        <v>5</v>
      </c>
      <c r="T53" s="404">
        <v>10</v>
      </c>
      <c r="U53" s="404">
        <v>18</v>
      </c>
      <c r="V53" s="404">
        <v>7</v>
      </c>
      <c r="W53" s="404">
        <v>12</v>
      </c>
      <c r="X53" s="404">
        <v>8</v>
      </c>
      <c r="Y53" s="404" t="s">
        <v>1051</v>
      </c>
    </row>
    <row r="54" spans="3:25" x14ac:dyDescent="0.2">
      <c r="C54" s="68" t="str">
        <f>'G-1 All Habitats'!B53</f>
        <v>Sparsely vegetated land - Ruderal/Ephemeral</v>
      </c>
      <c r="D54" s="404" t="s">
        <v>1051</v>
      </c>
      <c r="E54" s="404" t="s">
        <v>1051</v>
      </c>
      <c r="F54" s="404" t="s">
        <v>1051</v>
      </c>
      <c r="G54" s="404" t="s">
        <v>1051</v>
      </c>
      <c r="H54" s="404" t="s">
        <v>1051</v>
      </c>
      <c r="I54" s="404" t="s">
        <v>1051</v>
      </c>
      <c r="J54" s="404" t="s">
        <v>1051</v>
      </c>
      <c r="K54" s="404" t="s">
        <v>1051</v>
      </c>
      <c r="L54" s="404" t="s">
        <v>1051</v>
      </c>
      <c r="M54" s="404" t="s">
        <v>1051</v>
      </c>
      <c r="N54" s="404" t="s">
        <v>1051</v>
      </c>
      <c r="O54" s="404">
        <v>1</v>
      </c>
      <c r="P54" s="404">
        <v>2</v>
      </c>
      <c r="Q54" s="404">
        <v>3</v>
      </c>
      <c r="R54" s="404">
        <v>5</v>
      </c>
      <c r="S54" s="404">
        <v>1</v>
      </c>
      <c r="T54" s="404">
        <v>2</v>
      </c>
      <c r="U54" s="404">
        <v>3</v>
      </c>
      <c r="V54" s="404">
        <v>1</v>
      </c>
      <c r="W54" s="404">
        <v>2</v>
      </c>
      <c r="X54" s="404">
        <v>1</v>
      </c>
      <c r="Y54" s="404" t="s">
        <v>1051</v>
      </c>
    </row>
    <row r="55" spans="3:25" x14ac:dyDescent="0.2">
      <c r="C55" s="68" t="s">
        <v>667</v>
      </c>
      <c r="D55" s="404" t="s">
        <v>1051</v>
      </c>
      <c r="E55" s="404" t="s">
        <v>1051</v>
      </c>
      <c r="F55" s="404" t="s">
        <v>1051</v>
      </c>
      <c r="G55" s="404" t="s">
        <v>1051</v>
      </c>
      <c r="H55" s="404" t="s">
        <v>1051</v>
      </c>
      <c r="I55" s="404" t="s">
        <v>1051</v>
      </c>
      <c r="J55" s="404" t="s">
        <v>1051</v>
      </c>
      <c r="K55" s="404" t="s">
        <v>1051</v>
      </c>
      <c r="L55" s="404" t="s">
        <v>1051</v>
      </c>
      <c r="M55" s="404" t="s">
        <v>1051</v>
      </c>
      <c r="N55" s="404" t="s">
        <v>1051</v>
      </c>
      <c r="O55" s="404">
        <v>1</v>
      </c>
      <c r="P55" s="404">
        <v>2</v>
      </c>
      <c r="Q55" s="404">
        <v>3</v>
      </c>
      <c r="R55" s="404">
        <v>5</v>
      </c>
      <c r="S55" s="404">
        <v>1</v>
      </c>
      <c r="T55" s="404">
        <v>2</v>
      </c>
      <c r="U55" s="404">
        <v>3</v>
      </c>
      <c r="V55" s="404">
        <v>1</v>
      </c>
      <c r="W55" s="404">
        <v>2</v>
      </c>
      <c r="X55" s="404">
        <v>1</v>
      </c>
      <c r="Y55" s="404" t="s">
        <v>1051</v>
      </c>
    </row>
    <row r="56" spans="3:25" x14ac:dyDescent="0.2">
      <c r="C56" s="68" t="str">
        <f>'G-1 All Habitats'!B55</f>
        <v>Sparsely vegetated land - Inland rock outcrop and scree habitats</v>
      </c>
      <c r="D56" s="404" t="s">
        <v>1051</v>
      </c>
      <c r="E56" s="404" t="s">
        <v>1051</v>
      </c>
      <c r="F56" s="404">
        <v>10</v>
      </c>
      <c r="G56" s="404">
        <v>15</v>
      </c>
      <c r="H56" s="404">
        <v>20</v>
      </c>
      <c r="I56" s="404">
        <v>25</v>
      </c>
      <c r="J56" s="404" t="s">
        <v>1052</v>
      </c>
      <c r="K56" s="404" t="s">
        <v>1051</v>
      </c>
      <c r="L56" s="404" t="s">
        <v>1051</v>
      </c>
      <c r="M56" s="404" t="s">
        <v>1051</v>
      </c>
      <c r="N56" s="404" t="s">
        <v>1051</v>
      </c>
      <c r="O56" s="404">
        <v>10</v>
      </c>
      <c r="P56" s="404">
        <v>15</v>
      </c>
      <c r="Q56" s="404">
        <v>25</v>
      </c>
      <c r="R56" s="404" t="s">
        <v>1052</v>
      </c>
      <c r="S56" s="404">
        <v>20</v>
      </c>
      <c r="T56" s="404">
        <v>25</v>
      </c>
      <c r="U56" s="404">
        <v>27</v>
      </c>
      <c r="V56" s="404">
        <v>15</v>
      </c>
      <c r="W56" s="404">
        <v>20</v>
      </c>
      <c r="X56" s="404">
        <v>15</v>
      </c>
      <c r="Y56" s="404" t="s">
        <v>1051</v>
      </c>
    </row>
    <row r="57" spans="3:25" x14ac:dyDescent="0.2">
      <c r="C57" s="68" t="str">
        <f>'G-1 All Habitats'!B56</f>
        <v>Sparsely vegetated land - Limestone pavement</v>
      </c>
      <c r="D57" s="404" t="s">
        <v>1051</v>
      </c>
      <c r="E57" s="404" t="s">
        <v>1051</v>
      </c>
      <c r="F57" s="404" t="s">
        <v>1052</v>
      </c>
      <c r="G57" s="404" t="s">
        <v>1052</v>
      </c>
      <c r="H57" s="404" t="s">
        <v>1052</v>
      </c>
      <c r="I57" s="404" t="s">
        <v>1052</v>
      </c>
      <c r="J57" s="404" t="s">
        <v>1052</v>
      </c>
      <c r="K57" s="404" t="s">
        <v>1051</v>
      </c>
      <c r="L57" s="404" t="s">
        <v>1051</v>
      </c>
      <c r="M57" s="404" t="s">
        <v>1051</v>
      </c>
      <c r="N57" s="404" t="s">
        <v>1051</v>
      </c>
      <c r="O57" s="404">
        <v>5</v>
      </c>
      <c r="P57" s="404">
        <v>10</v>
      </c>
      <c r="Q57" s="404">
        <v>15</v>
      </c>
      <c r="R57" s="404">
        <v>20</v>
      </c>
      <c r="S57" s="404">
        <v>5</v>
      </c>
      <c r="T57" s="404">
        <v>10</v>
      </c>
      <c r="U57" s="404">
        <v>15</v>
      </c>
      <c r="V57" s="404">
        <v>5</v>
      </c>
      <c r="W57" s="404">
        <v>10</v>
      </c>
      <c r="X57" s="404">
        <v>5</v>
      </c>
      <c r="Y57" s="404" t="s">
        <v>1051</v>
      </c>
    </row>
    <row r="58" spans="3:25" x14ac:dyDescent="0.2">
      <c r="C58" s="68" t="str">
        <f>'G-1 All Habitats'!B57</f>
        <v>Sparsely vegetated land - Maritime cliff and slopes</v>
      </c>
      <c r="D58" s="404" t="s">
        <v>1051</v>
      </c>
      <c r="E58" s="404" t="s">
        <v>1051</v>
      </c>
      <c r="F58" s="404">
        <v>10</v>
      </c>
      <c r="G58" s="404">
        <v>15</v>
      </c>
      <c r="H58" s="404">
        <v>20</v>
      </c>
      <c r="I58" s="404">
        <v>25</v>
      </c>
      <c r="J58" s="404" t="s">
        <v>1052</v>
      </c>
      <c r="K58" s="404" t="s">
        <v>1051</v>
      </c>
      <c r="L58" s="404" t="s">
        <v>1051</v>
      </c>
      <c r="M58" s="404" t="s">
        <v>1051</v>
      </c>
      <c r="N58" s="404" t="s">
        <v>1051</v>
      </c>
      <c r="O58" s="404">
        <v>5</v>
      </c>
      <c r="P58" s="404">
        <v>8</v>
      </c>
      <c r="Q58" s="404">
        <v>15</v>
      </c>
      <c r="R58" s="404">
        <v>20</v>
      </c>
      <c r="S58" s="404">
        <v>5</v>
      </c>
      <c r="T58" s="404">
        <v>10</v>
      </c>
      <c r="U58" s="404">
        <v>18</v>
      </c>
      <c r="V58" s="404">
        <v>7</v>
      </c>
      <c r="W58" s="404">
        <v>12</v>
      </c>
      <c r="X58" s="404">
        <v>8</v>
      </c>
      <c r="Y58" s="404" t="s">
        <v>1051</v>
      </c>
    </row>
    <row r="59" spans="3:25" x14ac:dyDescent="0.2">
      <c r="C59" s="68" t="str">
        <f>'G-1 All Habitats'!B58</f>
        <v>Sparsely vegetated land - Other inland rock and scree</v>
      </c>
      <c r="D59" s="404" t="s">
        <v>1051</v>
      </c>
      <c r="E59" s="404" t="s">
        <v>1051</v>
      </c>
      <c r="F59" s="404">
        <v>3</v>
      </c>
      <c r="G59" s="404">
        <v>5</v>
      </c>
      <c r="H59" s="404">
        <v>10</v>
      </c>
      <c r="I59" s="404">
        <v>15</v>
      </c>
      <c r="J59" s="404">
        <v>20</v>
      </c>
      <c r="K59" s="404" t="s">
        <v>1051</v>
      </c>
      <c r="L59" s="404" t="s">
        <v>1051</v>
      </c>
      <c r="M59" s="404" t="s">
        <v>1051</v>
      </c>
      <c r="N59" s="404" t="s">
        <v>1051</v>
      </c>
      <c r="O59" s="404">
        <v>5</v>
      </c>
      <c r="P59" s="404">
        <v>10</v>
      </c>
      <c r="Q59" s="404">
        <v>15</v>
      </c>
      <c r="R59" s="404">
        <v>20</v>
      </c>
      <c r="S59" s="404">
        <v>5</v>
      </c>
      <c r="T59" s="404">
        <v>10</v>
      </c>
      <c r="U59" s="404">
        <v>15</v>
      </c>
      <c r="V59" s="404">
        <v>5</v>
      </c>
      <c r="W59" s="404">
        <v>10</v>
      </c>
      <c r="X59" s="404">
        <v>5</v>
      </c>
      <c r="Y59" s="404" t="s">
        <v>1051</v>
      </c>
    </row>
    <row r="60" spans="3:25" x14ac:dyDescent="0.2">
      <c r="C60" s="68" t="str">
        <f>'G-1 All Habitats'!B59</f>
        <v>Urban - Allotments</v>
      </c>
      <c r="D60" s="404" t="s">
        <v>1051</v>
      </c>
      <c r="E60" s="404" t="s">
        <v>1051</v>
      </c>
      <c r="F60" s="404">
        <v>1</v>
      </c>
      <c r="G60" s="404">
        <v>1</v>
      </c>
      <c r="H60" s="404">
        <v>1</v>
      </c>
      <c r="I60" s="404">
        <v>1</v>
      </c>
      <c r="J60" s="404">
        <v>1</v>
      </c>
      <c r="K60" s="404" t="s">
        <v>1051</v>
      </c>
      <c r="L60" s="404" t="s">
        <v>1051</v>
      </c>
      <c r="M60" s="404" t="s">
        <v>1051</v>
      </c>
      <c r="N60" s="404" t="s">
        <v>1051</v>
      </c>
      <c r="O60" s="404">
        <v>1</v>
      </c>
      <c r="P60" s="404">
        <v>1</v>
      </c>
      <c r="Q60" s="404">
        <v>1</v>
      </c>
      <c r="R60" s="404">
        <v>1</v>
      </c>
      <c r="S60" s="404">
        <v>1</v>
      </c>
      <c r="T60" s="404">
        <v>1</v>
      </c>
      <c r="U60" s="404">
        <v>1</v>
      </c>
      <c r="V60" s="404">
        <v>1</v>
      </c>
      <c r="W60" s="404">
        <v>1</v>
      </c>
      <c r="X60" s="404">
        <v>1</v>
      </c>
      <c r="Y60" s="404" t="s">
        <v>1051</v>
      </c>
    </row>
    <row r="61" spans="3:25" x14ac:dyDescent="0.2">
      <c r="C61" s="68" t="str">
        <f>'G-1 All Habitats'!B40</f>
        <v>Lakes - Ornamental lake or pond</v>
      </c>
      <c r="D61" s="404" t="s">
        <v>1051</v>
      </c>
      <c r="E61" s="404" t="s">
        <v>1051</v>
      </c>
      <c r="F61" s="404">
        <v>1</v>
      </c>
      <c r="G61" s="404">
        <v>2</v>
      </c>
      <c r="H61" s="404">
        <v>3</v>
      </c>
      <c r="I61" s="404">
        <v>4</v>
      </c>
      <c r="J61" s="404">
        <v>5</v>
      </c>
      <c r="K61" s="404" t="s">
        <v>1051</v>
      </c>
      <c r="L61" s="404" t="s">
        <v>1051</v>
      </c>
      <c r="M61" s="404" t="s">
        <v>1051</v>
      </c>
      <c r="N61" s="404" t="s">
        <v>1051</v>
      </c>
      <c r="O61" s="404">
        <v>2</v>
      </c>
      <c r="P61" s="404">
        <v>4</v>
      </c>
      <c r="Q61" s="404">
        <v>6</v>
      </c>
      <c r="R61" s="404">
        <v>8</v>
      </c>
      <c r="S61" s="404">
        <v>2</v>
      </c>
      <c r="T61" s="404">
        <v>4</v>
      </c>
      <c r="U61" s="404">
        <v>6</v>
      </c>
      <c r="V61" s="404">
        <v>2</v>
      </c>
      <c r="W61" s="404">
        <v>4</v>
      </c>
      <c r="X61" s="404">
        <v>2</v>
      </c>
      <c r="Y61" s="404" t="s">
        <v>1051</v>
      </c>
    </row>
    <row r="62" spans="3:25" x14ac:dyDescent="0.2">
      <c r="C62" s="68" t="str">
        <f>'G-1 All Habitats'!B60</f>
        <v>Urban - Artificial unvegetated, unsealed surface</v>
      </c>
      <c r="D62" s="404" t="s">
        <v>1051</v>
      </c>
      <c r="E62" s="404" t="s">
        <v>1051</v>
      </c>
      <c r="F62" s="404" t="s">
        <v>1051</v>
      </c>
      <c r="G62" s="404" t="s">
        <v>1051</v>
      </c>
      <c r="H62" s="404" t="s">
        <v>1051</v>
      </c>
      <c r="I62" s="404" t="s">
        <v>1051</v>
      </c>
      <c r="J62" s="404" t="s">
        <v>1051</v>
      </c>
      <c r="K62" s="404" t="s">
        <v>1051</v>
      </c>
      <c r="L62" s="404" t="s">
        <v>1051</v>
      </c>
      <c r="M62" s="404" t="s">
        <v>1051</v>
      </c>
      <c r="N62" s="404" t="s">
        <v>1051</v>
      </c>
      <c r="O62" s="404" t="s">
        <v>1051</v>
      </c>
      <c r="P62" s="404" t="s">
        <v>1051</v>
      </c>
      <c r="Q62" s="404" t="s">
        <v>1051</v>
      </c>
      <c r="R62" s="404" t="s">
        <v>1051</v>
      </c>
      <c r="S62" s="404" t="s">
        <v>1051</v>
      </c>
      <c r="T62" s="404" t="s">
        <v>1051</v>
      </c>
      <c r="U62" s="404" t="s">
        <v>1051</v>
      </c>
      <c r="V62" s="404" t="s">
        <v>1051</v>
      </c>
      <c r="W62" s="404" t="s">
        <v>1051</v>
      </c>
      <c r="X62" s="404" t="s">
        <v>1051</v>
      </c>
      <c r="Y62" s="404" t="s">
        <v>1051</v>
      </c>
    </row>
    <row r="63" spans="3:25" x14ac:dyDescent="0.2">
      <c r="C63" s="68" t="str">
        <f>'G-1 All Habitats'!B61</f>
        <v>Urban - Bioswale</v>
      </c>
      <c r="D63" s="404" t="s">
        <v>1051</v>
      </c>
      <c r="E63" s="404" t="s">
        <v>1051</v>
      </c>
      <c r="F63" s="404">
        <v>1</v>
      </c>
      <c r="G63" s="404">
        <v>1</v>
      </c>
      <c r="H63" s="404">
        <v>1</v>
      </c>
      <c r="I63" s="404">
        <v>2</v>
      </c>
      <c r="J63" s="404">
        <v>3</v>
      </c>
      <c r="K63" s="404" t="s">
        <v>1051</v>
      </c>
      <c r="L63" s="404" t="s">
        <v>1051</v>
      </c>
      <c r="M63" s="404" t="s">
        <v>1051</v>
      </c>
      <c r="N63" s="404" t="s">
        <v>1051</v>
      </c>
      <c r="O63" s="404">
        <v>1</v>
      </c>
      <c r="P63" s="404">
        <v>2</v>
      </c>
      <c r="Q63" s="404">
        <v>2</v>
      </c>
      <c r="R63" s="404">
        <v>3</v>
      </c>
      <c r="S63" s="404">
        <v>1</v>
      </c>
      <c r="T63" s="404">
        <v>3</v>
      </c>
      <c r="U63" s="404">
        <v>3</v>
      </c>
      <c r="V63" s="404">
        <v>2</v>
      </c>
      <c r="W63" s="404">
        <v>2</v>
      </c>
      <c r="X63" s="404">
        <v>2</v>
      </c>
      <c r="Y63" s="404" t="s">
        <v>1051</v>
      </c>
    </row>
    <row r="64" spans="3:25" x14ac:dyDescent="0.2">
      <c r="C64" s="68" t="str">
        <f>'G-1 All Habitats'!B62</f>
        <v>Urban - Intensive green roof</v>
      </c>
      <c r="D64" s="404" t="s">
        <v>1051</v>
      </c>
      <c r="E64" s="404" t="s">
        <v>1051</v>
      </c>
      <c r="F64" s="404">
        <v>1</v>
      </c>
      <c r="G64" s="404">
        <v>2</v>
      </c>
      <c r="H64" s="404">
        <v>3</v>
      </c>
      <c r="I64" s="404">
        <v>4</v>
      </c>
      <c r="J64" s="404">
        <v>5</v>
      </c>
      <c r="K64" s="404" t="s">
        <v>1051</v>
      </c>
      <c r="L64" s="404" t="s">
        <v>1051</v>
      </c>
      <c r="M64" s="404" t="s">
        <v>1051</v>
      </c>
      <c r="N64" s="404" t="s">
        <v>1051</v>
      </c>
      <c r="O64" s="404">
        <v>1</v>
      </c>
      <c r="P64" s="404">
        <v>2</v>
      </c>
      <c r="Q64" s="404">
        <v>3</v>
      </c>
      <c r="R64" s="404">
        <v>5</v>
      </c>
      <c r="S64" s="404">
        <v>1</v>
      </c>
      <c r="T64" s="404">
        <v>2</v>
      </c>
      <c r="U64" s="404">
        <v>3</v>
      </c>
      <c r="V64" s="404">
        <v>1</v>
      </c>
      <c r="W64" s="404">
        <v>2</v>
      </c>
      <c r="X64" s="404">
        <v>1</v>
      </c>
      <c r="Y64" s="404" t="s">
        <v>1051</v>
      </c>
    </row>
    <row r="65" spans="3:25" x14ac:dyDescent="0.2">
      <c r="C65" s="68" t="str">
        <f>'G-1 All Habitats'!B63</f>
        <v>Urban - Built linear features</v>
      </c>
      <c r="D65" s="404" t="s">
        <v>1051</v>
      </c>
      <c r="E65" s="404" t="s">
        <v>1051</v>
      </c>
      <c r="F65" s="404" t="s">
        <v>1051</v>
      </c>
      <c r="G65" s="404" t="s">
        <v>1051</v>
      </c>
      <c r="H65" s="404" t="s">
        <v>1051</v>
      </c>
      <c r="I65" s="404" t="s">
        <v>1051</v>
      </c>
      <c r="J65" s="404" t="s">
        <v>1051</v>
      </c>
      <c r="K65" s="404" t="s">
        <v>1051</v>
      </c>
      <c r="L65" s="404" t="s">
        <v>1051</v>
      </c>
      <c r="M65" s="404" t="s">
        <v>1051</v>
      </c>
      <c r="N65" s="404" t="s">
        <v>1051</v>
      </c>
      <c r="O65" s="404" t="s">
        <v>1051</v>
      </c>
      <c r="P65" s="404" t="s">
        <v>1051</v>
      </c>
      <c r="Q65" s="404" t="s">
        <v>1051</v>
      </c>
      <c r="R65" s="404" t="s">
        <v>1051</v>
      </c>
      <c r="S65" s="404" t="s">
        <v>1051</v>
      </c>
      <c r="T65" s="404" t="s">
        <v>1051</v>
      </c>
      <c r="U65" s="404" t="s">
        <v>1051</v>
      </c>
      <c r="V65" s="404" t="s">
        <v>1051</v>
      </c>
      <c r="W65" s="404" t="s">
        <v>1051</v>
      </c>
      <c r="X65" s="404" t="s">
        <v>1051</v>
      </c>
      <c r="Y65" s="404" t="s">
        <v>1051</v>
      </c>
    </row>
    <row r="66" spans="3:25" x14ac:dyDescent="0.2">
      <c r="C66" s="68" t="str">
        <f>'G-1 All Habitats'!B64</f>
        <v>Urban - Cemeteries and churchyards</v>
      </c>
      <c r="D66" s="404" t="s">
        <v>1051</v>
      </c>
      <c r="E66" s="404" t="s">
        <v>1051</v>
      </c>
      <c r="F66" s="404">
        <v>10</v>
      </c>
      <c r="G66" s="404">
        <v>12</v>
      </c>
      <c r="H66" s="404">
        <v>15</v>
      </c>
      <c r="I66" s="404">
        <v>17</v>
      </c>
      <c r="J66" s="404">
        <v>20</v>
      </c>
      <c r="K66" s="404" t="s">
        <v>1051</v>
      </c>
      <c r="L66" s="404" t="s">
        <v>1051</v>
      </c>
      <c r="M66" s="404" t="s">
        <v>1051</v>
      </c>
      <c r="N66" s="404" t="s">
        <v>1051</v>
      </c>
      <c r="O66" s="404">
        <v>5</v>
      </c>
      <c r="P66" s="404">
        <v>10</v>
      </c>
      <c r="Q66" s="404">
        <v>15</v>
      </c>
      <c r="R66" s="404">
        <v>20</v>
      </c>
      <c r="S66" s="404">
        <v>10</v>
      </c>
      <c r="T66" s="404">
        <v>15</v>
      </c>
      <c r="U66" s="404">
        <v>20</v>
      </c>
      <c r="V66" s="404">
        <v>10</v>
      </c>
      <c r="W66" s="404">
        <v>15</v>
      </c>
      <c r="X66" s="404">
        <v>5</v>
      </c>
      <c r="Y66" s="404" t="s">
        <v>1051</v>
      </c>
    </row>
    <row r="67" spans="3:25" x14ac:dyDescent="0.2">
      <c r="C67" s="68" t="str">
        <f>'G-1 All Habitats'!B65</f>
        <v>Urban - Developed land; sealed surface</v>
      </c>
      <c r="D67" s="404" t="s">
        <v>1051</v>
      </c>
      <c r="E67" s="404" t="s">
        <v>1051</v>
      </c>
      <c r="F67" s="404" t="s">
        <v>1051</v>
      </c>
      <c r="G67" s="404" t="s">
        <v>1051</v>
      </c>
      <c r="H67" s="404" t="s">
        <v>1051</v>
      </c>
      <c r="I67" s="404" t="s">
        <v>1051</v>
      </c>
      <c r="J67" s="404" t="s">
        <v>1051</v>
      </c>
      <c r="K67" s="404" t="s">
        <v>1051</v>
      </c>
      <c r="L67" s="404" t="s">
        <v>1051</v>
      </c>
      <c r="M67" s="404" t="s">
        <v>1051</v>
      </c>
      <c r="N67" s="404" t="s">
        <v>1051</v>
      </c>
      <c r="O67" s="404" t="s">
        <v>1051</v>
      </c>
      <c r="P67" s="404" t="s">
        <v>1051</v>
      </c>
      <c r="Q67" s="404" t="s">
        <v>1051</v>
      </c>
      <c r="R67" s="404" t="s">
        <v>1051</v>
      </c>
      <c r="S67" s="404" t="s">
        <v>1051</v>
      </c>
      <c r="T67" s="404" t="s">
        <v>1051</v>
      </c>
      <c r="U67" s="404" t="s">
        <v>1051</v>
      </c>
      <c r="V67" s="404" t="s">
        <v>1051</v>
      </c>
      <c r="W67" s="404" t="s">
        <v>1051</v>
      </c>
      <c r="X67" s="404" t="s">
        <v>1051</v>
      </c>
      <c r="Y67" s="404" t="s">
        <v>1051</v>
      </c>
    </row>
    <row r="68" spans="3:25" x14ac:dyDescent="0.2">
      <c r="C68" s="68" t="str">
        <f>'G-1 All Habitats'!B66</f>
        <v>Urban - Other green roof</v>
      </c>
      <c r="D68" s="404" t="s">
        <v>1051</v>
      </c>
      <c r="E68" s="404" t="s">
        <v>1051</v>
      </c>
      <c r="F68" s="404" t="s">
        <v>1051</v>
      </c>
      <c r="G68" s="404" t="s">
        <v>1051</v>
      </c>
      <c r="H68" s="404" t="s">
        <v>1051</v>
      </c>
      <c r="I68" s="404" t="s">
        <v>1051</v>
      </c>
      <c r="J68" s="404" t="s">
        <v>1051</v>
      </c>
      <c r="K68" s="404" t="s">
        <v>1051</v>
      </c>
      <c r="L68" s="404" t="s">
        <v>1051</v>
      </c>
      <c r="M68" s="404" t="s">
        <v>1051</v>
      </c>
      <c r="N68" s="404" t="s">
        <v>1051</v>
      </c>
      <c r="O68" s="404" t="s">
        <v>1051</v>
      </c>
      <c r="P68" s="404" t="s">
        <v>1051</v>
      </c>
      <c r="Q68" s="404" t="s">
        <v>1051</v>
      </c>
      <c r="R68" s="404" t="s">
        <v>1051</v>
      </c>
      <c r="S68" s="404" t="s">
        <v>1051</v>
      </c>
      <c r="T68" s="404" t="s">
        <v>1051</v>
      </c>
      <c r="U68" s="404" t="s">
        <v>1051</v>
      </c>
      <c r="V68" s="404" t="s">
        <v>1051</v>
      </c>
      <c r="W68" s="404" t="s">
        <v>1051</v>
      </c>
      <c r="X68" s="404" t="s">
        <v>1051</v>
      </c>
      <c r="Y68" s="404" t="s">
        <v>1051</v>
      </c>
    </row>
    <row r="69" spans="3:25" x14ac:dyDescent="0.2">
      <c r="C69" s="68" t="str">
        <f>'G-1 All Habitats'!B67</f>
        <v>Urban - Facade-bound green wall</v>
      </c>
      <c r="D69" s="404" t="s">
        <v>1051</v>
      </c>
      <c r="E69" s="404" t="s">
        <v>1051</v>
      </c>
      <c r="F69" s="404">
        <v>1</v>
      </c>
      <c r="G69" s="404">
        <v>2</v>
      </c>
      <c r="H69" s="404">
        <v>3</v>
      </c>
      <c r="I69" s="404">
        <v>4</v>
      </c>
      <c r="J69" s="404">
        <v>5</v>
      </c>
      <c r="K69" s="404" t="s">
        <v>1051</v>
      </c>
      <c r="L69" s="404" t="s">
        <v>1051</v>
      </c>
      <c r="M69" s="404" t="s">
        <v>1051</v>
      </c>
      <c r="N69" s="404" t="s">
        <v>1051</v>
      </c>
      <c r="O69" s="404">
        <v>1</v>
      </c>
      <c r="P69" s="404">
        <v>2</v>
      </c>
      <c r="Q69" s="404">
        <v>3</v>
      </c>
      <c r="R69" s="404">
        <v>5</v>
      </c>
      <c r="S69" s="404">
        <v>1</v>
      </c>
      <c r="T69" s="404">
        <v>2</v>
      </c>
      <c r="U69" s="404">
        <v>3</v>
      </c>
      <c r="V69" s="404">
        <v>1</v>
      </c>
      <c r="W69" s="404">
        <v>2</v>
      </c>
      <c r="X69" s="404">
        <v>1</v>
      </c>
      <c r="Y69" s="404" t="s">
        <v>1051</v>
      </c>
    </row>
    <row r="70" spans="3:25" x14ac:dyDescent="0.2">
      <c r="C70" s="68" t="str">
        <f>'G-1 All Habitats'!B68</f>
        <v>Urban - Ground based green wall</v>
      </c>
      <c r="D70" s="404" t="s">
        <v>1051</v>
      </c>
      <c r="E70" s="404" t="s">
        <v>1051</v>
      </c>
      <c r="F70" s="404">
        <v>1</v>
      </c>
      <c r="G70" s="404">
        <v>2</v>
      </c>
      <c r="H70" s="404">
        <v>3</v>
      </c>
      <c r="I70" s="404">
        <v>4</v>
      </c>
      <c r="J70" s="404">
        <v>5</v>
      </c>
      <c r="K70" s="404" t="s">
        <v>1051</v>
      </c>
      <c r="L70" s="404" t="s">
        <v>1051</v>
      </c>
      <c r="M70" s="404" t="s">
        <v>1051</v>
      </c>
      <c r="N70" s="404" t="s">
        <v>1051</v>
      </c>
      <c r="O70" s="404">
        <v>1</v>
      </c>
      <c r="P70" s="404">
        <v>2</v>
      </c>
      <c r="Q70" s="404">
        <v>3</v>
      </c>
      <c r="R70" s="404">
        <v>5</v>
      </c>
      <c r="S70" s="404">
        <v>1</v>
      </c>
      <c r="T70" s="404">
        <v>2</v>
      </c>
      <c r="U70" s="404">
        <v>3</v>
      </c>
      <c r="V70" s="404">
        <v>1</v>
      </c>
      <c r="W70" s="404">
        <v>2</v>
      </c>
      <c r="X70" s="404">
        <v>1</v>
      </c>
      <c r="Y70" s="404" t="s">
        <v>1051</v>
      </c>
    </row>
    <row r="71" spans="3:25" x14ac:dyDescent="0.2">
      <c r="C71" s="68" t="str">
        <f>'G-1 All Habitats'!B69</f>
        <v>Urban - Ground level planters</v>
      </c>
      <c r="D71" s="404" t="s">
        <v>1051</v>
      </c>
      <c r="E71" s="404" t="s">
        <v>1051</v>
      </c>
      <c r="F71" s="404" t="s">
        <v>1051</v>
      </c>
      <c r="G71" s="404" t="s">
        <v>1051</v>
      </c>
      <c r="H71" s="404" t="s">
        <v>1051</v>
      </c>
      <c r="I71" s="404" t="s">
        <v>1051</v>
      </c>
      <c r="J71" s="404" t="s">
        <v>1051</v>
      </c>
      <c r="K71" s="404" t="s">
        <v>1051</v>
      </c>
      <c r="L71" s="404" t="s">
        <v>1051</v>
      </c>
      <c r="M71" s="404" t="s">
        <v>1051</v>
      </c>
      <c r="N71" s="404" t="s">
        <v>1051</v>
      </c>
      <c r="O71" s="404" t="s">
        <v>1051</v>
      </c>
      <c r="P71" s="404" t="s">
        <v>1051</v>
      </c>
      <c r="Q71" s="404" t="s">
        <v>1051</v>
      </c>
      <c r="R71" s="404" t="s">
        <v>1051</v>
      </c>
      <c r="S71" s="404" t="s">
        <v>1051</v>
      </c>
      <c r="T71" s="404" t="s">
        <v>1051</v>
      </c>
      <c r="U71" s="404" t="s">
        <v>1051</v>
      </c>
      <c r="V71" s="404" t="s">
        <v>1051</v>
      </c>
      <c r="W71" s="404" t="s">
        <v>1051</v>
      </c>
      <c r="X71" s="404" t="s">
        <v>1051</v>
      </c>
      <c r="Y71" s="404" t="s">
        <v>1051</v>
      </c>
    </row>
    <row r="72" spans="3:25" x14ac:dyDescent="0.2">
      <c r="C72" s="68" t="str">
        <f>'G-1 All Habitats'!B70</f>
        <v>Urban - Biodiverse green roof</v>
      </c>
      <c r="D72" s="404" t="s">
        <v>1051</v>
      </c>
      <c r="E72" s="404" t="s">
        <v>1051</v>
      </c>
      <c r="F72" s="404">
        <v>1</v>
      </c>
      <c r="G72" s="404">
        <v>3</v>
      </c>
      <c r="H72" s="404">
        <v>5</v>
      </c>
      <c r="I72" s="404">
        <v>8</v>
      </c>
      <c r="J72" s="404">
        <v>10</v>
      </c>
      <c r="K72" s="404" t="s">
        <v>1051</v>
      </c>
      <c r="L72" s="404" t="s">
        <v>1051</v>
      </c>
      <c r="M72" s="404" t="s">
        <v>1051</v>
      </c>
      <c r="N72" s="404" t="s">
        <v>1051</v>
      </c>
      <c r="O72" s="404">
        <v>3</v>
      </c>
      <c r="P72" s="404">
        <v>5</v>
      </c>
      <c r="Q72" s="404">
        <v>8</v>
      </c>
      <c r="R72" s="404">
        <v>10</v>
      </c>
      <c r="S72" s="404">
        <v>3</v>
      </c>
      <c r="T72" s="404">
        <v>8</v>
      </c>
      <c r="U72" s="404">
        <v>8</v>
      </c>
      <c r="V72" s="404">
        <v>3</v>
      </c>
      <c r="W72" s="404">
        <v>5</v>
      </c>
      <c r="X72" s="404">
        <v>2</v>
      </c>
      <c r="Y72" s="404" t="s">
        <v>1051</v>
      </c>
    </row>
    <row r="73" spans="3:25" x14ac:dyDescent="0.2">
      <c r="C73" s="68" t="str">
        <f>'G-1 All Habitats'!B71</f>
        <v>Urban - Introduced shrub</v>
      </c>
      <c r="D73" s="404" t="s">
        <v>1051</v>
      </c>
      <c r="E73" s="404" t="s">
        <v>1051</v>
      </c>
      <c r="F73" s="404" t="s">
        <v>1051</v>
      </c>
      <c r="G73" s="404" t="s">
        <v>1051</v>
      </c>
      <c r="H73" s="404" t="s">
        <v>1051</v>
      </c>
      <c r="I73" s="404" t="s">
        <v>1051</v>
      </c>
      <c r="J73" s="404" t="s">
        <v>1051</v>
      </c>
      <c r="K73" s="404" t="s">
        <v>1051</v>
      </c>
      <c r="L73" s="404" t="s">
        <v>1051</v>
      </c>
      <c r="M73" s="404" t="s">
        <v>1051</v>
      </c>
      <c r="N73" s="404" t="s">
        <v>1051</v>
      </c>
      <c r="O73" s="404" t="s">
        <v>1051</v>
      </c>
      <c r="P73" s="404" t="s">
        <v>1051</v>
      </c>
      <c r="Q73" s="404" t="s">
        <v>1051</v>
      </c>
      <c r="R73" s="404" t="s">
        <v>1051</v>
      </c>
      <c r="S73" s="404" t="s">
        <v>1051</v>
      </c>
      <c r="T73" s="404" t="s">
        <v>1051</v>
      </c>
      <c r="U73" s="404" t="s">
        <v>1051</v>
      </c>
      <c r="V73" s="404" t="s">
        <v>1051</v>
      </c>
      <c r="W73" s="404" t="s">
        <v>1051</v>
      </c>
      <c r="X73" s="404" t="s">
        <v>1051</v>
      </c>
      <c r="Y73" s="404" t="s">
        <v>1051</v>
      </c>
    </row>
    <row r="74" spans="3:25" x14ac:dyDescent="0.2">
      <c r="C74" s="68" t="str">
        <f>'G-1 All Habitats'!B72</f>
        <v>Urban - Open mosaic habitats on previously developed land</v>
      </c>
      <c r="D74" s="404" t="s">
        <v>1051</v>
      </c>
      <c r="E74" s="404" t="s">
        <v>1051</v>
      </c>
      <c r="F74" s="404">
        <v>0</v>
      </c>
      <c r="G74" s="404">
        <v>2</v>
      </c>
      <c r="H74" s="404">
        <v>4</v>
      </c>
      <c r="I74" s="404">
        <v>7</v>
      </c>
      <c r="J74" s="404">
        <v>10</v>
      </c>
      <c r="K74" s="404" t="s">
        <v>1051</v>
      </c>
      <c r="L74" s="404" t="s">
        <v>1051</v>
      </c>
      <c r="M74" s="404" t="s">
        <v>1051</v>
      </c>
      <c r="N74" s="404" t="s">
        <v>1051</v>
      </c>
      <c r="O74" s="404">
        <v>2</v>
      </c>
      <c r="P74" s="404">
        <v>4</v>
      </c>
      <c r="Q74" s="404">
        <v>7</v>
      </c>
      <c r="R74" s="404">
        <v>10</v>
      </c>
      <c r="S74" s="404">
        <v>2</v>
      </c>
      <c r="T74" s="404">
        <v>5</v>
      </c>
      <c r="U74" s="404">
        <v>8</v>
      </c>
      <c r="V74" s="404">
        <v>3</v>
      </c>
      <c r="W74" s="404">
        <v>4</v>
      </c>
      <c r="X74" s="404">
        <v>3</v>
      </c>
      <c r="Y74" s="404" t="s">
        <v>1051</v>
      </c>
    </row>
    <row r="75" spans="3:25" x14ac:dyDescent="0.2">
      <c r="C75" s="68" t="str">
        <f>'G-1 All Habitats'!B73</f>
        <v>Urban - Rain garden</v>
      </c>
      <c r="D75" s="404" t="s">
        <v>1051</v>
      </c>
      <c r="E75" s="404" t="s">
        <v>1051</v>
      </c>
      <c r="F75" s="404">
        <v>1</v>
      </c>
      <c r="G75" s="404">
        <v>1</v>
      </c>
      <c r="H75" s="404">
        <v>1</v>
      </c>
      <c r="I75" s="404">
        <v>1</v>
      </c>
      <c r="J75" s="404">
        <v>1</v>
      </c>
      <c r="K75" s="404" t="s">
        <v>1051</v>
      </c>
      <c r="L75" s="404" t="s">
        <v>1051</v>
      </c>
      <c r="M75" s="404" t="s">
        <v>1051</v>
      </c>
      <c r="N75" s="404" t="s">
        <v>1051</v>
      </c>
      <c r="O75" s="404">
        <v>1</v>
      </c>
      <c r="P75" s="404">
        <v>1</v>
      </c>
      <c r="Q75" s="404">
        <v>1</v>
      </c>
      <c r="R75" s="404">
        <v>1</v>
      </c>
      <c r="S75" s="404">
        <v>1</v>
      </c>
      <c r="T75" s="404">
        <v>1</v>
      </c>
      <c r="U75" s="404">
        <v>1</v>
      </c>
      <c r="V75" s="404">
        <v>1</v>
      </c>
      <c r="W75" s="404">
        <v>1</v>
      </c>
      <c r="X75" s="404">
        <v>1</v>
      </c>
      <c r="Y75" s="404" t="s">
        <v>1051</v>
      </c>
    </row>
    <row r="76" spans="3:25" x14ac:dyDescent="0.2">
      <c r="C76" s="68" t="str">
        <f>'G-1 All Habitats'!B74</f>
        <v>Urban - Actively worked sand pit quarry or open cast mine</v>
      </c>
      <c r="D76" s="404" t="s">
        <v>1051</v>
      </c>
      <c r="E76" s="404" t="s">
        <v>1051</v>
      </c>
      <c r="F76" s="404">
        <v>1</v>
      </c>
      <c r="G76" s="404" t="s">
        <v>1051</v>
      </c>
      <c r="H76" s="404" t="s">
        <v>1051</v>
      </c>
      <c r="I76" s="404" t="s">
        <v>1051</v>
      </c>
      <c r="J76" s="404" t="s">
        <v>1051</v>
      </c>
      <c r="K76" s="404" t="s">
        <v>1051</v>
      </c>
      <c r="L76" s="404" t="s">
        <v>1051</v>
      </c>
      <c r="M76" s="404" t="s">
        <v>1051</v>
      </c>
      <c r="N76" s="404" t="s">
        <v>1051</v>
      </c>
      <c r="O76" s="404" t="s">
        <v>1051</v>
      </c>
      <c r="P76" s="404" t="s">
        <v>1051</v>
      </c>
      <c r="Q76" s="404" t="s">
        <v>1051</v>
      </c>
      <c r="R76" s="404" t="s">
        <v>1051</v>
      </c>
      <c r="S76" s="404" t="s">
        <v>1051</v>
      </c>
      <c r="T76" s="404" t="s">
        <v>1051</v>
      </c>
      <c r="U76" s="404" t="s">
        <v>1051</v>
      </c>
      <c r="V76" s="404" t="s">
        <v>1051</v>
      </c>
      <c r="W76" s="404" t="s">
        <v>1051</v>
      </c>
      <c r="X76" s="404" t="s">
        <v>1051</v>
      </c>
      <c r="Y76" s="404" t="s">
        <v>1051</v>
      </c>
    </row>
    <row r="77" spans="3:25" x14ac:dyDescent="0.2">
      <c r="C77" s="68" t="str">
        <f>'G-1 All Habitats'!B80</f>
        <v>Individual trees - Urban tree</v>
      </c>
      <c r="D77" s="404" t="s">
        <v>1051</v>
      </c>
      <c r="E77" s="404" t="s">
        <v>1051</v>
      </c>
      <c r="F77" s="404" t="s">
        <v>1051</v>
      </c>
      <c r="G77" s="404" t="s">
        <v>1051</v>
      </c>
      <c r="H77" s="404" t="s">
        <v>1051</v>
      </c>
      <c r="I77" s="404" t="s">
        <v>1051</v>
      </c>
      <c r="J77" s="404" t="s">
        <v>1051</v>
      </c>
      <c r="K77" s="404" t="s">
        <v>1051</v>
      </c>
      <c r="L77" s="404" t="s">
        <v>1051</v>
      </c>
      <c r="M77" s="404" t="s">
        <v>1051</v>
      </c>
      <c r="N77" s="404" t="s">
        <v>1051</v>
      </c>
      <c r="O77" s="404">
        <v>8</v>
      </c>
      <c r="P77" s="404">
        <v>16</v>
      </c>
      <c r="Q77" s="404">
        <v>24</v>
      </c>
      <c r="R77" s="404" t="s">
        <v>1052</v>
      </c>
      <c r="S77" s="404">
        <v>8</v>
      </c>
      <c r="T77" s="404">
        <v>16</v>
      </c>
      <c r="U77" s="404">
        <v>24</v>
      </c>
      <c r="V77" s="404">
        <v>8</v>
      </c>
      <c r="W77" s="404">
        <v>16</v>
      </c>
      <c r="X77" s="404">
        <v>8</v>
      </c>
      <c r="Y77" s="404" t="s">
        <v>1051</v>
      </c>
    </row>
    <row r="78" spans="3:25" x14ac:dyDescent="0.2">
      <c r="C78" s="68" t="str">
        <f>'G-1 All Habitats'!B75</f>
        <v>Urban - Sustainable drainage system</v>
      </c>
      <c r="D78" s="404" t="s">
        <v>1051</v>
      </c>
      <c r="E78" s="404" t="s">
        <v>1051</v>
      </c>
      <c r="F78" s="404">
        <v>1</v>
      </c>
      <c r="G78" s="404">
        <v>2</v>
      </c>
      <c r="H78" s="404">
        <v>3</v>
      </c>
      <c r="I78" s="404">
        <v>4</v>
      </c>
      <c r="J78" s="404">
        <v>5</v>
      </c>
      <c r="K78" s="404" t="s">
        <v>1051</v>
      </c>
      <c r="L78" s="404" t="s">
        <v>1051</v>
      </c>
      <c r="M78" s="404" t="s">
        <v>1051</v>
      </c>
      <c r="N78" s="404" t="s">
        <v>1051</v>
      </c>
      <c r="O78" s="404">
        <v>1</v>
      </c>
      <c r="P78" s="404">
        <v>2</v>
      </c>
      <c r="Q78" s="404">
        <v>3</v>
      </c>
      <c r="R78" s="404">
        <v>5</v>
      </c>
      <c r="S78" s="404">
        <v>1</v>
      </c>
      <c r="T78" s="404">
        <v>2</v>
      </c>
      <c r="U78" s="404">
        <v>3</v>
      </c>
      <c r="V78" s="404">
        <v>1</v>
      </c>
      <c r="W78" s="404">
        <v>2</v>
      </c>
      <c r="X78" s="404">
        <v>1</v>
      </c>
      <c r="Y78" s="404" t="s">
        <v>1051</v>
      </c>
    </row>
    <row r="79" spans="3:25" x14ac:dyDescent="0.2">
      <c r="C79" s="68" t="str">
        <f>'G-1 All Habitats'!B76</f>
        <v>Urban - Unvegetated garden</v>
      </c>
      <c r="D79" s="404" t="s">
        <v>1051</v>
      </c>
      <c r="E79" s="404" t="s">
        <v>1051</v>
      </c>
      <c r="F79" s="404" t="s">
        <v>1051</v>
      </c>
      <c r="G79" s="404" t="s">
        <v>1051</v>
      </c>
      <c r="H79" s="404" t="s">
        <v>1051</v>
      </c>
      <c r="I79" s="404" t="s">
        <v>1051</v>
      </c>
      <c r="J79" s="404" t="s">
        <v>1051</v>
      </c>
      <c r="K79" s="404" t="s">
        <v>1051</v>
      </c>
      <c r="L79" s="404" t="s">
        <v>1051</v>
      </c>
      <c r="M79" s="404" t="s">
        <v>1051</v>
      </c>
      <c r="N79" s="404" t="s">
        <v>1051</v>
      </c>
      <c r="O79" s="404" t="s">
        <v>1051</v>
      </c>
      <c r="P79" s="404" t="s">
        <v>1051</v>
      </c>
      <c r="Q79" s="404" t="s">
        <v>1051</v>
      </c>
      <c r="R79" s="404" t="s">
        <v>1051</v>
      </c>
      <c r="S79" s="404" t="s">
        <v>1051</v>
      </c>
      <c r="T79" s="404" t="s">
        <v>1051</v>
      </c>
      <c r="U79" s="404" t="s">
        <v>1051</v>
      </c>
      <c r="V79" s="404" t="s">
        <v>1051</v>
      </c>
      <c r="W79" s="404" t="s">
        <v>1051</v>
      </c>
      <c r="X79" s="404" t="s">
        <v>1051</v>
      </c>
      <c r="Y79" s="404" t="s">
        <v>1051</v>
      </c>
    </row>
    <row r="80" spans="3:25" x14ac:dyDescent="0.2">
      <c r="C80" s="68" t="str">
        <f>'G-1 All Habitats'!B77</f>
        <v>Urban - Vacant or derelict land</v>
      </c>
      <c r="D80" s="404" t="s">
        <v>1051</v>
      </c>
      <c r="E80" s="404" t="s">
        <v>1051</v>
      </c>
      <c r="F80" s="404">
        <v>1</v>
      </c>
      <c r="G80" s="404">
        <v>1</v>
      </c>
      <c r="H80" s="404">
        <v>1</v>
      </c>
      <c r="I80" s="404">
        <v>1</v>
      </c>
      <c r="J80" s="404">
        <v>1</v>
      </c>
      <c r="K80" s="404" t="s">
        <v>1051</v>
      </c>
      <c r="L80" s="404" t="s">
        <v>1051</v>
      </c>
      <c r="M80" s="404" t="s">
        <v>1051</v>
      </c>
      <c r="N80" s="404" t="s">
        <v>1051</v>
      </c>
      <c r="O80" s="404">
        <v>1</v>
      </c>
      <c r="P80" s="404">
        <v>1</v>
      </c>
      <c r="Q80" s="404">
        <v>1</v>
      </c>
      <c r="R80" s="404">
        <v>1</v>
      </c>
      <c r="S80" s="404">
        <v>1</v>
      </c>
      <c r="T80" s="404">
        <v>1</v>
      </c>
      <c r="U80" s="404">
        <v>1</v>
      </c>
      <c r="V80" s="404">
        <v>1</v>
      </c>
      <c r="W80" s="404">
        <v>1</v>
      </c>
      <c r="X80" s="404">
        <v>1</v>
      </c>
      <c r="Y80" s="404" t="s">
        <v>1051</v>
      </c>
    </row>
    <row r="81" spans="3:25" x14ac:dyDescent="0.2">
      <c r="C81" s="68" t="s">
        <v>738</v>
      </c>
      <c r="D81" s="404" t="s">
        <v>1051</v>
      </c>
      <c r="E81" s="404" t="s">
        <v>1051</v>
      </c>
      <c r="F81" s="404">
        <v>1</v>
      </c>
      <c r="G81" s="404">
        <v>1</v>
      </c>
      <c r="H81" s="404">
        <v>1</v>
      </c>
      <c r="I81" s="404">
        <v>1</v>
      </c>
      <c r="J81" s="404">
        <v>1</v>
      </c>
      <c r="K81" s="404" t="s">
        <v>1051</v>
      </c>
      <c r="L81" s="404" t="s">
        <v>1051</v>
      </c>
      <c r="M81" s="404" t="s">
        <v>1051</v>
      </c>
      <c r="N81" s="404" t="s">
        <v>1051</v>
      </c>
      <c r="O81" s="404">
        <v>1</v>
      </c>
      <c r="P81" s="404">
        <v>1</v>
      </c>
      <c r="Q81" s="404">
        <v>1</v>
      </c>
      <c r="R81" s="404">
        <v>1</v>
      </c>
      <c r="S81" s="404">
        <v>1</v>
      </c>
      <c r="T81" s="404">
        <v>1</v>
      </c>
      <c r="U81" s="404">
        <v>1</v>
      </c>
      <c r="V81" s="404">
        <v>1</v>
      </c>
      <c r="W81" s="404">
        <v>1</v>
      </c>
      <c r="X81" s="404">
        <v>1</v>
      </c>
      <c r="Y81" s="404" t="s">
        <v>1051</v>
      </c>
    </row>
    <row r="82" spans="3:25" x14ac:dyDescent="0.2">
      <c r="C82" s="68" t="str">
        <f>'G-1 All Habitats'!B79</f>
        <v>Urban - Vegetated garden</v>
      </c>
      <c r="D82" s="404" t="s">
        <v>1051</v>
      </c>
      <c r="E82" s="404" t="s">
        <v>1051</v>
      </c>
      <c r="F82" s="404">
        <v>1</v>
      </c>
      <c r="G82" s="404">
        <v>2</v>
      </c>
      <c r="H82" s="404">
        <v>3</v>
      </c>
      <c r="I82" s="404">
        <v>4</v>
      </c>
      <c r="J82" s="404">
        <v>5</v>
      </c>
      <c r="K82" s="404" t="s">
        <v>1051</v>
      </c>
      <c r="L82" s="404" t="s">
        <v>1051</v>
      </c>
      <c r="M82" s="404" t="s">
        <v>1051</v>
      </c>
      <c r="N82" s="404" t="s">
        <v>1051</v>
      </c>
      <c r="O82" s="404">
        <v>1</v>
      </c>
      <c r="P82" s="404">
        <v>2</v>
      </c>
      <c r="Q82" s="404">
        <v>3</v>
      </c>
      <c r="R82" s="404">
        <v>5</v>
      </c>
      <c r="S82" s="404">
        <v>1</v>
      </c>
      <c r="T82" s="404">
        <v>2</v>
      </c>
      <c r="U82" s="404">
        <v>3</v>
      </c>
      <c r="V82" s="404">
        <v>1</v>
      </c>
      <c r="W82" s="404">
        <v>2</v>
      </c>
      <c r="X82" s="404">
        <v>1</v>
      </c>
      <c r="Y82" s="404" t="s">
        <v>1051</v>
      </c>
    </row>
    <row r="83" spans="3:25" x14ac:dyDescent="0.2">
      <c r="C83" s="68" t="str">
        <f>'G-1 All Habitats'!B82</f>
        <v>Wetland - Blanket bog</v>
      </c>
      <c r="D83" s="404" t="s">
        <v>1051</v>
      </c>
      <c r="E83" s="404" t="s">
        <v>1051</v>
      </c>
      <c r="F83" s="404">
        <v>15</v>
      </c>
      <c r="G83" s="404">
        <v>25</v>
      </c>
      <c r="H83" s="404">
        <v>30</v>
      </c>
      <c r="I83" s="404" t="s">
        <v>1052</v>
      </c>
      <c r="J83" s="404" t="s">
        <v>1052</v>
      </c>
      <c r="K83" s="404" t="s">
        <v>1051</v>
      </c>
      <c r="L83" s="404" t="s">
        <v>1051</v>
      </c>
      <c r="M83" s="404" t="s">
        <v>1051</v>
      </c>
      <c r="N83" s="404" t="s">
        <v>1051</v>
      </c>
      <c r="O83" s="404">
        <v>10</v>
      </c>
      <c r="P83" s="404">
        <v>20</v>
      </c>
      <c r="Q83" s="404" t="s">
        <v>1052</v>
      </c>
      <c r="R83" s="404">
        <v>30</v>
      </c>
      <c r="S83" s="404">
        <v>10</v>
      </c>
      <c r="T83" s="404" t="s">
        <v>1052</v>
      </c>
      <c r="U83" s="404" t="s">
        <v>1052</v>
      </c>
      <c r="V83" s="404">
        <v>30</v>
      </c>
      <c r="W83" s="404" t="s">
        <v>1052</v>
      </c>
      <c r="X83" s="404">
        <v>30</v>
      </c>
      <c r="Y83" s="404" t="s">
        <v>1051</v>
      </c>
    </row>
    <row r="84" spans="3:25" x14ac:dyDescent="0.2">
      <c r="C84" s="68" t="str">
        <f>'G-1 All Habitats'!B83</f>
        <v>Wetland - Depressions on peat substrates (H7150)</v>
      </c>
      <c r="D84" s="404" t="s">
        <v>1051</v>
      </c>
      <c r="E84" s="404" t="s">
        <v>1051</v>
      </c>
      <c r="F84" s="404">
        <v>15</v>
      </c>
      <c r="G84" s="404">
        <v>25</v>
      </c>
      <c r="H84" s="404">
        <v>30</v>
      </c>
      <c r="I84" s="404" t="s">
        <v>1052</v>
      </c>
      <c r="J84" s="404" t="s">
        <v>1052</v>
      </c>
      <c r="K84" s="404" t="s">
        <v>1051</v>
      </c>
      <c r="L84" s="404" t="s">
        <v>1051</v>
      </c>
      <c r="M84" s="404" t="s">
        <v>1051</v>
      </c>
      <c r="N84" s="404" t="s">
        <v>1051</v>
      </c>
      <c r="O84" s="404">
        <v>10</v>
      </c>
      <c r="P84" s="404">
        <v>20</v>
      </c>
      <c r="Q84" s="404">
        <v>25</v>
      </c>
      <c r="R84" s="404">
        <v>30</v>
      </c>
      <c r="S84" s="404">
        <v>10</v>
      </c>
      <c r="T84" s="404">
        <v>20</v>
      </c>
      <c r="U84" s="404">
        <v>25</v>
      </c>
      <c r="V84" s="404">
        <v>10</v>
      </c>
      <c r="W84" s="404">
        <v>20</v>
      </c>
      <c r="X84" s="404">
        <v>10</v>
      </c>
      <c r="Y84" s="404" t="s">
        <v>1051</v>
      </c>
    </row>
    <row r="85" spans="3:25" x14ac:dyDescent="0.2">
      <c r="C85" s="68" t="str">
        <f>'G-1 All Habitats'!B84</f>
        <v>Wetland - Fens (upland and lowland)</v>
      </c>
      <c r="D85" s="404" t="s">
        <v>1051</v>
      </c>
      <c r="E85" s="404" t="s">
        <v>1051</v>
      </c>
      <c r="F85" s="404">
        <v>10</v>
      </c>
      <c r="G85" s="404">
        <v>12</v>
      </c>
      <c r="H85" s="404">
        <v>15</v>
      </c>
      <c r="I85" s="404">
        <v>25</v>
      </c>
      <c r="J85" s="404">
        <v>30</v>
      </c>
      <c r="K85" s="404" t="s">
        <v>1051</v>
      </c>
      <c r="L85" s="404" t="s">
        <v>1051</v>
      </c>
      <c r="M85" s="404" t="s">
        <v>1051</v>
      </c>
      <c r="N85" s="404" t="s">
        <v>1051</v>
      </c>
      <c r="O85" s="404">
        <v>10</v>
      </c>
      <c r="P85" s="404">
        <v>12</v>
      </c>
      <c r="Q85" s="404">
        <v>15</v>
      </c>
      <c r="R85" s="404">
        <v>18</v>
      </c>
      <c r="S85" s="404">
        <v>10</v>
      </c>
      <c r="T85" s="404">
        <v>12</v>
      </c>
      <c r="U85" s="404">
        <v>15</v>
      </c>
      <c r="V85" s="404">
        <v>10</v>
      </c>
      <c r="W85" s="404">
        <v>12</v>
      </c>
      <c r="X85" s="404">
        <v>10</v>
      </c>
      <c r="Y85" s="404" t="s">
        <v>1051</v>
      </c>
    </row>
    <row r="86" spans="3:25" x14ac:dyDescent="0.2">
      <c r="C86" s="68" t="str">
        <f>'G-1 All Habitats'!B85</f>
        <v>Wetland - Lowland raised bog</v>
      </c>
      <c r="D86" s="404" t="s">
        <v>1051</v>
      </c>
      <c r="E86" s="404" t="s">
        <v>1051</v>
      </c>
      <c r="F86" s="404">
        <v>15</v>
      </c>
      <c r="G86" s="404">
        <v>20</v>
      </c>
      <c r="H86" s="404">
        <v>30</v>
      </c>
      <c r="I86" s="404" t="s">
        <v>1052</v>
      </c>
      <c r="J86" s="404" t="s">
        <v>1052</v>
      </c>
      <c r="K86" s="404" t="s">
        <v>1051</v>
      </c>
      <c r="L86" s="404" t="s">
        <v>1051</v>
      </c>
      <c r="M86" s="404" t="s">
        <v>1051</v>
      </c>
      <c r="N86" s="404" t="s">
        <v>1051</v>
      </c>
      <c r="O86" s="404">
        <v>10</v>
      </c>
      <c r="P86" s="404">
        <v>20</v>
      </c>
      <c r="Q86" s="404">
        <v>25</v>
      </c>
      <c r="R86" s="404">
        <v>30</v>
      </c>
      <c r="S86" s="404">
        <v>10</v>
      </c>
      <c r="T86" s="404">
        <v>20</v>
      </c>
      <c r="U86" s="404">
        <v>20</v>
      </c>
      <c r="V86" s="404">
        <v>10</v>
      </c>
      <c r="W86" s="404">
        <v>15</v>
      </c>
      <c r="X86" s="404">
        <v>10</v>
      </c>
      <c r="Y86" s="404" t="s">
        <v>1051</v>
      </c>
    </row>
    <row r="87" spans="3:25" x14ac:dyDescent="0.2">
      <c r="C87" s="68" t="str">
        <f>'G-1 All Habitats'!B86</f>
        <v>Wetland - Oceanic valley mire[1] (D2.1)</v>
      </c>
      <c r="D87" s="404" t="s">
        <v>1051</v>
      </c>
      <c r="E87" s="404" t="s">
        <v>1051</v>
      </c>
      <c r="F87" s="404">
        <v>15</v>
      </c>
      <c r="G87" s="404">
        <v>20</v>
      </c>
      <c r="H87" s="404">
        <v>30</v>
      </c>
      <c r="I87" s="404" t="s">
        <v>1052</v>
      </c>
      <c r="J87" s="404" t="s">
        <v>1052</v>
      </c>
      <c r="K87" s="404" t="s">
        <v>1051</v>
      </c>
      <c r="L87" s="404" t="s">
        <v>1051</v>
      </c>
      <c r="M87" s="404" t="s">
        <v>1051</v>
      </c>
      <c r="N87" s="404" t="s">
        <v>1051</v>
      </c>
      <c r="O87" s="404">
        <v>10</v>
      </c>
      <c r="P87" s="404">
        <v>20</v>
      </c>
      <c r="Q87" s="404">
        <v>25</v>
      </c>
      <c r="R87" s="404">
        <v>30</v>
      </c>
      <c r="S87" s="404">
        <v>10</v>
      </c>
      <c r="T87" s="404">
        <v>20</v>
      </c>
      <c r="U87" s="404">
        <v>20</v>
      </c>
      <c r="V87" s="404">
        <v>10</v>
      </c>
      <c r="W87" s="404">
        <v>15</v>
      </c>
      <c r="X87" s="404">
        <v>10</v>
      </c>
      <c r="Y87" s="404" t="s">
        <v>1051</v>
      </c>
    </row>
    <row r="88" spans="3:25" x14ac:dyDescent="0.2">
      <c r="C88" s="68" t="str">
        <f>'G-1 All Habitats'!B87</f>
        <v>Wetland - Purple moor grass and rush pastures</v>
      </c>
      <c r="D88" s="404" t="s">
        <v>1051</v>
      </c>
      <c r="E88" s="404" t="s">
        <v>1051</v>
      </c>
      <c r="F88" s="404">
        <v>10</v>
      </c>
      <c r="G88" s="404">
        <v>12</v>
      </c>
      <c r="H88" s="404">
        <v>15</v>
      </c>
      <c r="I88" s="404">
        <v>17</v>
      </c>
      <c r="J88" s="404">
        <v>20</v>
      </c>
      <c r="K88" s="404" t="s">
        <v>1051</v>
      </c>
      <c r="L88" s="404" t="s">
        <v>1051</v>
      </c>
      <c r="M88" s="404" t="s">
        <v>1051</v>
      </c>
      <c r="N88" s="404" t="s">
        <v>1051</v>
      </c>
      <c r="O88" s="404">
        <v>10</v>
      </c>
      <c r="P88" s="404">
        <v>10</v>
      </c>
      <c r="Q88" s="404">
        <v>15</v>
      </c>
      <c r="R88" s="404">
        <v>20</v>
      </c>
      <c r="S88" s="404">
        <v>10</v>
      </c>
      <c r="T88" s="404">
        <v>15</v>
      </c>
      <c r="U88" s="404">
        <v>20</v>
      </c>
      <c r="V88" s="404">
        <v>10</v>
      </c>
      <c r="W88" s="404">
        <v>15</v>
      </c>
      <c r="X88" s="404">
        <v>10</v>
      </c>
      <c r="Y88" s="404" t="s">
        <v>1051</v>
      </c>
    </row>
    <row r="89" spans="3:25" x14ac:dyDescent="0.2">
      <c r="C89" s="68" t="str">
        <f>'G-1 All Habitats'!B88</f>
        <v>Wetland - Reedbeds</v>
      </c>
      <c r="D89" s="404" t="s">
        <v>1051</v>
      </c>
      <c r="E89" s="404" t="s">
        <v>1051</v>
      </c>
      <c r="F89" s="404">
        <v>5</v>
      </c>
      <c r="G89" s="404">
        <v>7</v>
      </c>
      <c r="H89" s="404">
        <v>10</v>
      </c>
      <c r="I89" s="404">
        <v>12</v>
      </c>
      <c r="J89" s="404">
        <v>15</v>
      </c>
      <c r="K89" s="404" t="s">
        <v>1051</v>
      </c>
      <c r="L89" s="404" t="s">
        <v>1051</v>
      </c>
      <c r="M89" s="404" t="s">
        <v>1051</v>
      </c>
      <c r="N89" s="404" t="s">
        <v>1051</v>
      </c>
      <c r="O89" s="404">
        <v>5</v>
      </c>
      <c r="P89" s="404">
        <v>7</v>
      </c>
      <c r="Q89" s="404">
        <v>10</v>
      </c>
      <c r="R89" s="404">
        <v>12</v>
      </c>
      <c r="S89" s="404">
        <v>5</v>
      </c>
      <c r="T89" s="404">
        <v>7</v>
      </c>
      <c r="U89" s="404">
        <v>10</v>
      </c>
      <c r="V89" s="404">
        <v>5</v>
      </c>
      <c r="W89" s="404">
        <v>7</v>
      </c>
      <c r="X89" s="404">
        <v>5</v>
      </c>
      <c r="Y89" s="404" t="s">
        <v>1051</v>
      </c>
    </row>
    <row r="90" spans="3:25" x14ac:dyDescent="0.2">
      <c r="C90" s="68" t="str">
        <f>'G-1 All Habitats'!B89</f>
        <v>Wetland - Transition mires and quaking bogs (H7140)</v>
      </c>
      <c r="D90" s="404" t="s">
        <v>1051</v>
      </c>
      <c r="E90" s="404" t="s">
        <v>1051</v>
      </c>
      <c r="F90" s="404">
        <v>15</v>
      </c>
      <c r="G90" s="404">
        <v>25</v>
      </c>
      <c r="H90" s="404">
        <v>30</v>
      </c>
      <c r="I90" s="404" t="s">
        <v>1052</v>
      </c>
      <c r="J90" s="404" t="s">
        <v>1052</v>
      </c>
      <c r="K90" s="404" t="s">
        <v>1051</v>
      </c>
      <c r="L90" s="404" t="s">
        <v>1051</v>
      </c>
      <c r="M90" s="404" t="s">
        <v>1051</v>
      </c>
      <c r="N90" s="404" t="s">
        <v>1051</v>
      </c>
      <c r="O90" s="404">
        <v>10</v>
      </c>
      <c r="P90" s="404">
        <v>20</v>
      </c>
      <c r="Q90" s="404">
        <v>25</v>
      </c>
      <c r="R90" s="404">
        <v>30</v>
      </c>
      <c r="S90" s="404">
        <v>10</v>
      </c>
      <c r="T90" s="404">
        <v>20</v>
      </c>
      <c r="U90" s="404">
        <v>20</v>
      </c>
      <c r="V90" s="404">
        <v>10</v>
      </c>
      <c r="W90" s="404">
        <v>15</v>
      </c>
      <c r="X90" s="404">
        <v>10</v>
      </c>
      <c r="Y90" s="404" t="s">
        <v>1051</v>
      </c>
    </row>
    <row r="91" spans="3:25" x14ac:dyDescent="0.2">
      <c r="C91" s="68" t="str">
        <f>'G-1 All Habitats'!B90</f>
        <v>Woodland and forest - Felled</v>
      </c>
      <c r="D91" s="404" t="s">
        <v>1051</v>
      </c>
      <c r="E91" s="404" t="s">
        <v>1051</v>
      </c>
      <c r="F91" s="404" t="s">
        <v>1051</v>
      </c>
      <c r="G91" s="404" t="s">
        <v>1051</v>
      </c>
      <c r="H91" s="404" t="s">
        <v>1051</v>
      </c>
      <c r="I91" s="404" t="s">
        <v>1051</v>
      </c>
      <c r="J91" s="404" t="s">
        <v>1051</v>
      </c>
      <c r="K91" s="404" t="s">
        <v>1051</v>
      </c>
      <c r="L91" s="404" t="s">
        <v>1051</v>
      </c>
      <c r="M91" s="404" t="s">
        <v>1051</v>
      </c>
      <c r="N91" s="404" t="s">
        <v>1051</v>
      </c>
      <c r="O91" s="404" t="s">
        <v>1051</v>
      </c>
      <c r="P91" s="404" t="s">
        <v>1051</v>
      </c>
      <c r="Q91" s="404" t="s">
        <v>1051</v>
      </c>
      <c r="R91" s="404" t="s">
        <v>1051</v>
      </c>
      <c r="S91" s="404" t="s">
        <v>1051</v>
      </c>
      <c r="T91" s="404" t="s">
        <v>1051</v>
      </c>
      <c r="U91" s="404" t="s">
        <v>1051</v>
      </c>
      <c r="V91" s="404" t="s">
        <v>1051</v>
      </c>
      <c r="W91" s="404" t="s">
        <v>1051</v>
      </c>
      <c r="X91" s="404" t="s">
        <v>1051</v>
      </c>
      <c r="Y91" s="404" t="s">
        <v>1051</v>
      </c>
    </row>
    <row r="92" spans="3:25" x14ac:dyDescent="0.2">
      <c r="C92" s="68" t="str">
        <f>'G-1 All Habitats'!B91</f>
        <v>Woodland and forest - Lowland beech and yew woodland</v>
      </c>
      <c r="D92" s="404" t="s">
        <v>1051</v>
      </c>
      <c r="E92" s="404" t="s">
        <v>1051</v>
      </c>
      <c r="F92" s="404">
        <v>10</v>
      </c>
      <c r="G92" s="404">
        <v>25</v>
      </c>
      <c r="H92" s="404" t="s">
        <v>1052</v>
      </c>
      <c r="I92" s="404" t="s">
        <v>1052</v>
      </c>
      <c r="J92" s="404" t="s">
        <v>1052</v>
      </c>
      <c r="K92" s="404" t="s">
        <v>1051</v>
      </c>
      <c r="L92" s="404" t="s">
        <v>1051</v>
      </c>
      <c r="M92" s="404" t="s">
        <v>1051</v>
      </c>
      <c r="N92" s="404" t="s">
        <v>1051</v>
      </c>
      <c r="O92" s="404">
        <v>25</v>
      </c>
      <c r="P92" s="404" t="s">
        <v>1052</v>
      </c>
      <c r="Q92" s="404" t="s">
        <v>1052</v>
      </c>
      <c r="R92" s="404" t="s">
        <v>1052</v>
      </c>
      <c r="S92" s="404" t="s">
        <v>1052</v>
      </c>
      <c r="T92" s="404" t="s">
        <v>1052</v>
      </c>
      <c r="U92" s="404" t="s">
        <v>1052</v>
      </c>
      <c r="V92" s="404" t="s">
        <v>1052</v>
      </c>
      <c r="W92" s="404" t="s">
        <v>1052</v>
      </c>
      <c r="X92" s="404" t="s">
        <v>1052</v>
      </c>
      <c r="Y92" s="404" t="s">
        <v>1051</v>
      </c>
    </row>
    <row r="93" spans="3:25" x14ac:dyDescent="0.2">
      <c r="C93" s="68" t="str">
        <f>'G-1 All Habitats'!B92</f>
        <v>Woodland and forest - Lowland mixed deciduous woodland</v>
      </c>
      <c r="D93" s="404" t="s">
        <v>1051</v>
      </c>
      <c r="E93" s="404" t="s">
        <v>1051</v>
      </c>
      <c r="F93" s="404">
        <v>10</v>
      </c>
      <c r="G93" s="404">
        <v>25</v>
      </c>
      <c r="H93" s="404" t="s">
        <v>1052</v>
      </c>
      <c r="I93" s="404" t="s">
        <v>1052</v>
      </c>
      <c r="J93" s="404" t="s">
        <v>1052</v>
      </c>
      <c r="K93" s="404" t="s">
        <v>1051</v>
      </c>
      <c r="L93" s="404" t="s">
        <v>1051</v>
      </c>
      <c r="M93" s="404" t="s">
        <v>1051</v>
      </c>
      <c r="N93" s="404" t="s">
        <v>1051</v>
      </c>
      <c r="O93" s="404">
        <v>10</v>
      </c>
      <c r="P93" s="404">
        <v>20</v>
      </c>
      <c r="Q93" s="404">
        <v>25</v>
      </c>
      <c r="R93" s="404" t="s">
        <v>1052</v>
      </c>
      <c r="S93" s="404">
        <v>10</v>
      </c>
      <c r="T93" s="404">
        <v>20</v>
      </c>
      <c r="U93" s="404">
        <v>25</v>
      </c>
      <c r="V93" s="404">
        <v>10</v>
      </c>
      <c r="W93" s="404">
        <v>20</v>
      </c>
      <c r="X93" s="404">
        <v>10</v>
      </c>
      <c r="Y93" s="404" t="s">
        <v>1051</v>
      </c>
    </row>
    <row r="94" spans="3:25" x14ac:dyDescent="0.2">
      <c r="C94" s="68" t="str">
        <f>'G-1 All Habitats'!B93</f>
        <v>Woodland and forest - Native pine woodlands</v>
      </c>
      <c r="D94" s="404" t="s">
        <v>1051</v>
      </c>
      <c r="E94" s="404" t="s">
        <v>1051</v>
      </c>
      <c r="F94" s="404">
        <v>25</v>
      </c>
      <c r="G94" s="404">
        <v>30</v>
      </c>
      <c r="H94" s="404" t="s">
        <v>1052</v>
      </c>
      <c r="I94" s="404" t="s">
        <v>1052</v>
      </c>
      <c r="J94" s="404" t="s">
        <v>1052</v>
      </c>
      <c r="K94" s="404" t="s">
        <v>1051</v>
      </c>
      <c r="L94" s="404" t="s">
        <v>1051</v>
      </c>
      <c r="M94" s="404" t="s">
        <v>1051</v>
      </c>
      <c r="N94" s="404" t="s">
        <v>1051</v>
      </c>
      <c r="O94" s="404">
        <v>10</v>
      </c>
      <c r="P94" s="404">
        <v>15</v>
      </c>
      <c r="Q94" s="404">
        <v>20</v>
      </c>
      <c r="R94" s="404" t="s">
        <v>1052</v>
      </c>
      <c r="S94" s="404">
        <v>15</v>
      </c>
      <c r="T94" s="404">
        <v>20</v>
      </c>
      <c r="U94" s="404">
        <v>25</v>
      </c>
      <c r="V94" s="404">
        <v>10</v>
      </c>
      <c r="W94" s="404">
        <v>15</v>
      </c>
      <c r="X94" s="404">
        <v>10</v>
      </c>
      <c r="Y94" s="404" t="s">
        <v>1051</v>
      </c>
    </row>
    <row r="95" spans="3:25" x14ac:dyDescent="0.2">
      <c r="C95" s="68" t="str">
        <f>'G-1 All Habitats'!B94</f>
        <v>Woodland and forest - Other coniferous woodland</v>
      </c>
      <c r="D95" s="404" t="s">
        <v>1051</v>
      </c>
      <c r="E95" s="404" t="s">
        <v>1051</v>
      </c>
      <c r="F95" s="404" t="s">
        <v>1051</v>
      </c>
      <c r="G95" s="404" t="s">
        <v>1051</v>
      </c>
      <c r="H95" s="404" t="s">
        <v>1051</v>
      </c>
      <c r="I95" s="404" t="s">
        <v>1051</v>
      </c>
      <c r="J95" s="404" t="s">
        <v>1051</v>
      </c>
      <c r="K95" s="404" t="s">
        <v>1051</v>
      </c>
      <c r="L95" s="404" t="s">
        <v>1051</v>
      </c>
      <c r="M95" s="404" t="s">
        <v>1051</v>
      </c>
      <c r="N95" s="404" t="s">
        <v>1051</v>
      </c>
      <c r="O95" s="404">
        <v>5</v>
      </c>
      <c r="P95" s="404">
        <v>25</v>
      </c>
      <c r="Q95" s="404" t="s">
        <v>1052</v>
      </c>
      <c r="R95" s="404" t="s">
        <v>1052</v>
      </c>
      <c r="S95" s="404">
        <v>20</v>
      </c>
      <c r="T95" s="404">
        <v>15</v>
      </c>
      <c r="U95" s="404">
        <v>25</v>
      </c>
      <c r="V95" s="404">
        <v>5</v>
      </c>
      <c r="W95" s="404">
        <v>7</v>
      </c>
      <c r="X95" s="404">
        <v>10</v>
      </c>
      <c r="Y95" s="404" t="s">
        <v>1051</v>
      </c>
    </row>
    <row r="96" spans="3:25" x14ac:dyDescent="0.2">
      <c r="C96" s="68" t="str">
        <f>'G-1 All Habitats'!B95</f>
        <v>Woodland and forest - Other Scot's pine woodland</v>
      </c>
      <c r="D96" s="404" t="s">
        <v>1051</v>
      </c>
      <c r="E96" s="404" t="s">
        <v>1051</v>
      </c>
      <c r="F96" s="404">
        <v>20</v>
      </c>
      <c r="G96" s="404">
        <v>25</v>
      </c>
      <c r="H96" s="404" t="s">
        <v>1052</v>
      </c>
      <c r="I96" s="404" t="s">
        <v>1052</v>
      </c>
      <c r="J96" s="404" t="s">
        <v>1052</v>
      </c>
      <c r="K96" s="404" t="s">
        <v>1051</v>
      </c>
      <c r="L96" s="404" t="s">
        <v>1051</v>
      </c>
      <c r="M96" s="404" t="s">
        <v>1051</v>
      </c>
      <c r="N96" s="404" t="s">
        <v>1051</v>
      </c>
      <c r="O96" s="404">
        <v>10</v>
      </c>
      <c r="P96" s="404">
        <v>15</v>
      </c>
      <c r="Q96" s="404">
        <v>20</v>
      </c>
      <c r="R96" s="404" t="s">
        <v>1052</v>
      </c>
      <c r="S96" s="404">
        <v>15</v>
      </c>
      <c r="T96" s="404">
        <v>20</v>
      </c>
      <c r="U96" s="404">
        <v>25</v>
      </c>
      <c r="V96" s="404">
        <v>10</v>
      </c>
      <c r="W96" s="404">
        <v>15</v>
      </c>
      <c r="X96" s="404">
        <v>10</v>
      </c>
      <c r="Y96" s="404" t="s">
        <v>1051</v>
      </c>
    </row>
    <row r="97" spans="3:25" x14ac:dyDescent="0.2">
      <c r="C97" s="68" t="str">
        <f>'G-1 All Habitats'!B96</f>
        <v>Woodland and forest - Other woodland; broadleaved</v>
      </c>
      <c r="D97" s="404" t="s">
        <v>1051</v>
      </c>
      <c r="E97" s="404" t="s">
        <v>1051</v>
      </c>
      <c r="F97" s="404">
        <v>5</v>
      </c>
      <c r="G97" s="404">
        <v>10</v>
      </c>
      <c r="H97" s="404">
        <v>15</v>
      </c>
      <c r="I97" s="404">
        <v>20</v>
      </c>
      <c r="J97" s="404">
        <v>25</v>
      </c>
      <c r="K97" s="404" t="s">
        <v>1051</v>
      </c>
      <c r="L97" s="404" t="s">
        <v>1051</v>
      </c>
      <c r="M97" s="404" t="s">
        <v>1051</v>
      </c>
      <c r="N97" s="404" t="s">
        <v>1051</v>
      </c>
      <c r="O97" s="404">
        <v>5</v>
      </c>
      <c r="P97" s="404">
        <v>10</v>
      </c>
      <c r="Q97" s="404">
        <v>15</v>
      </c>
      <c r="R97" s="404">
        <v>20</v>
      </c>
      <c r="S97" s="404">
        <v>5</v>
      </c>
      <c r="T97" s="404">
        <v>10</v>
      </c>
      <c r="U97" s="404">
        <v>15</v>
      </c>
      <c r="V97" s="404">
        <v>5</v>
      </c>
      <c r="W97" s="404">
        <v>10</v>
      </c>
      <c r="X97" s="404">
        <v>5</v>
      </c>
      <c r="Y97" s="404" t="s">
        <v>1051</v>
      </c>
    </row>
    <row r="98" spans="3:25" x14ac:dyDescent="0.2">
      <c r="C98" s="68" t="str">
        <f>'G-1 All Habitats'!B97</f>
        <v>Woodland and forest - Other woodland; mixed</v>
      </c>
      <c r="D98" s="404" t="s">
        <v>1051</v>
      </c>
      <c r="E98" s="404" t="s">
        <v>1051</v>
      </c>
      <c r="F98" s="404">
        <v>5</v>
      </c>
      <c r="G98" s="404">
        <v>10</v>
      </c>
      <c r="H98" s="404">
        <v>15</v>
      </c>
      <c r="I98" s="404">
        <v>20</v>
      </c>
      <c r="J98" s="404">
        <v>25</v>
      </c>
      <c r="K98" s="404" t="s">
        <v>1051</v>
      </c>
      <c r="L98" s="404" t="s">
        <v>1051</v>
      </c>
      <c r="M98" s="404" t="s">
        <v>1051</v>
      </c>
      <c r="N98" s="404" t="s">
        <v>1051</v>
      </c>
      <c r="O98" s="404">
        <v>5</v>
      </c>
      <c r="P98" s="404">
        <v>10</v>
      </c>
      <c r="Q98" s="404">
        <v>15</v>
      </c>
      <c r="R98" s="404">
        <v>20</v>
      </c>
      <c r="S98" s="404">
        <v>5</v>
      </c>
      <c r="T98" s="404">
        <v>10</v>
      </c>
      <c r="U98" s="404">
        <v>15</v>
      </c>
      <c r="V98" s="404">
        <v>5</v>
      </c>
      <c r="W98" s="404">
        <v>10</v>
      </c>
      <c r="X98" s="404">
        <v>5</v>
      </c>
      <c r="Y98" s="404" t="s">
        <v>1051</v>
      </c>
    </row>
    <row r="99" spans="3:25" x14ac:dyDescent="0.2">
      <c r="C99" s="68" t="str">
        <f>'G-1 All Habitats'!B98</f>
        <v>Woodland and forest - Upland birchwoods</v>
      </c>
      <c r="D99" s="404" t="s">
        <v>1051</v>
      </c>
      <c r="E99" s="404" t="s">
        <v>1051</v>
      </c>
      <c r="F99" s="404">
        <v>10</v>
      </c>
      <c r="G99" s="404">
        <v>20</v>
      </c>
      <c r="H99" s="404">
        <v>25</v>
      </c>
      <c r="I99" s="404">
        <v>30</v>
      </c>
      <c r="J99" s="404" t="s">
        <v>1052</v>
      </c>
      <c r="K99" s="404" t="s">
        <v>1051</v>
      </c>
      <c r="L99" s="404" t="s">
        <v>1051</v>
      </c>
      <c r="M99" s="404" t="s">
        <v>1051</v>
      </c>
      <c r="N99" s="404" t="s">
        <v>1051</v>
      </c>
      <c r="O99" s="404">
        <v>10</v>
      </c>
      <c r="P99" s="404">
        <v>15</v>
      </c>
      <c r="Q99" s="404">
        <v>20</v>
      </c>
      <c r="R99" s="404" t="s">
        <v>1052</v>
      </c>
      <c r="S99" s="404">
        <v>15</v>
      </c>
      <c r="T99" s="404">
        <v>20</v>
      </c>
      <c r="U99" s="404">
        <v>25</v>
      </c>
      <c r="V99" s="404">
        <v>10</v>
      </c>
      <c r="W99" s="404">
        <v>15</v>
      </c>
      <c r="X99" s="404">
        <v>10</v>
      </c>
      <c r="Y99" s="404" t="s">
        <v>1051</v>
      </c>
    </row>
    <row r="100" spans="3:25" x14ac:dyDescent="0.2">
      <c r="C100" s="68" t="str">
        <f>'G-1 All Habitats'!B99</f>
        <v>Woodland and forest - Upland mixed ashwoods</v>
      </c>
      <c r="D100" s="404" t="s">
        <v>1051</v>
      </c>
      <c r="E100" s="404" t="s">
        <v>1051</v>
      </c>
      <c r="F100" s="404">
        <v>10</v>
      </c>
      <c r="G100" s="404">
        <v>25</v>
      </c>
      <c r="H100" s="404" t="s">
        <v>1052</v>
      </c>
      <c r="I100" s="404" t="s">
        <v>1052</v>
      </c>
      <c r="J100" s="404" t="s">
        <v>1052</v>
      </c>
      <c r="K100" s="404" t="s">
        <v>1051</v>
      </c>
      <c r="L100" s="404" t="s">
        <v>1051</v>
      </c>
      <c r="M100" s="404" t="s">
        <v>1051</v>
      </c>
      <c r="N100" s="404" t="s">
        <v>1051</v>
      </c>
      <c r="O100" s="404">
        <v>10</v>
      </c>
      <c r="P100" s="404">
        <v>15</v>
      </c>
      <c r="Q100" s="404">
        <v>20</v>
      </c>
      <c r="R100" s="404" t="s">
        <v>1052</v>
      </c>
      <c r="S100" s="404">
        <v>15</v>
      </c>
      <c r="T100" s="404">
        <v>20</v>
      </c>
      <c r="U100" s="404">
        <v>25</v>
      </c>
      <c r="V100" s="404">
        <v>10</v>
      </c>
      <c r="W100" s="404">
        <v>15</v>
      </c>
      <c r="X100" s="404">
        <v>10</v>
      </c>
      <c r="Y100" s="404" t="s">
        <v>1051</v>
      </c>
    </row>
    <row r="101" spans="3:25" x14ac:dyDescent="0.2">
      <c r="C101" s="68" t="str">
        <f>'G-1 All Habitats'!B100</f>
        <v>Woodland and forest - Upland oakwood</v>
      </c>
      <c r="D101" s="404" t="s">
        <v>1051</v>
      </c>
      <c r="E101" s="404" t="s">
        <v>1051</v>
      </c>
      <c r="F101" s="404">
        <v>10</v>
      </c>
      <c r="G101" s="404">
        <v>25</v>
      </c>
      <c r="H101" s="404" t="s">
        <v>1052</v>
      </c>
      <c r="I101" s="404" t="s">
        <v>1052</v>
      </c>
      <c r="J101" s="404" t="s">
        <v>1052</v>
      </c>
      <c r="K101" s="404" t="s">
        <v>1051</v>
      </c>
      <c r="L101" s="404" t="s">
        <v>1051</v>
      </c>
      <c r="M101" s="404" t="s">
        <v>1051</v>
      </c>
      <c r="N101" s="404" t="s">
        <v>1051</v>
      </c>
      <c r="O101" s="404">
        <v>25</v>
      </c>
      <c r="P101" s="404" t="s">
        <v>1052</v>
      </c>
      <c r="Q101" s="404" t="s">
        <v>1052</v>
      </c>
      <c r="R101" s="404" t="s">
        <v>1052</v>
      </c>
      <c r="S101" s="404" t="s">
        <v>1052</v>
      </c>
      <c r="T101" s="404" t="s">
        <v>1052</v>
      </c>
      <c r="U101" s="404" t="s">
        <v>1052</v>
      </c>
      <c r="V101" s="404" t="s">
        <v>1052</v>
      </c>
      <c r="W101" s="404" t="s">
        <v>1052</v>
      </c>
      <c r="X101" s="404" t="s">
        <v>1052</v>
      </c>
      <c r="Y101" s="404" t="s">
        <v>1051</v>
      </c>
    </row>
    <row r="102" spans="3:25" x14ac:dyDescent="0.2">
      <c r="C102" s="68" t="str">
        <f>'G-1 All Habitats'!B101</f>
        <v>Woodland and forest - Wet woodland</v>
      </c>
      <c r="D102" s="404" t="s">
        <v>1051</v>
      </c>
      <c r="E102" s="404" t="s">
        <v>1051</v>
      </c>
      <c r="F102" s="404">
        <v>10</v>
      </c>
      <c r="G102" s="404">
        <v>20</v>
      </c>
      <c r="H102" s="404">
        <v>25</v>
      </c>
      <c r="I102" s="404">
        <v>30</v>
      </c>
      <c r="J102" s="404" t="s">
        <v>1052</v>
      </c>
      <c r="K102" s="404" t="s">
        <v>1051</v>
      </c>
      <c r="L102" s="404" t="s">
        <v>1051</v>
      </c>
      <c r="M102" s="404" t="s">
        <v>1051</v>
      </c>
      <c r="N102" s="404" t="s">
        <v>1051</v>
      </c>
      <c r="O102" s="404">
        <v>10</v>
      </c>
      <c r="P102" s="404">
        <v>10</v>
      </c>
      <c r="Q102" s="404">
        <v>15</v>
      </c>
      <c r="R102" s="404" t="s">
        <v>1052</v>
      </c>
      <c r="S102" s="404">
        <v>15</v>
      </c>
      <c r="T102" s="404">
        <v>20</v>
      </c>
      <c r="U102" s="404">
        <v>25</v>
      </c>
      <c r="V102" s="404">
        <v>10</v>
      </c>
      <c r="W102" s="404">
        <v>15</v>
      </c>
      <c r="X102" s="404">
        <v>10</v>
      </c>
      <c r="Y102" s="404" t="s">
        <v>1051</v>
      </c>
    </row>
    <row r="103" spans="3:25" x14ac:dyDescent="0.2">
      <c r="C103" s="68" t="str">
        <f>'G-1 All Habitats'!B102</f>
        <v>Woodland and forest - Wood-pasture and parkland</v>
      </c>
      <c r="D103" s="404" t="s">
        <v>1051</v>
      </c>
      <c r="E103" s="404" t="s">
        <v>1051</v>
      </c>
      <c r="F103" s="404">
        <v>10</v>
      </c>
      <c r="G103" s="404">
        <v>25</v>
      </c>
      <c r="H103" s="404" t="s">
        <v>1052</v>
      </c>
      <c r="I103" s="404" t="s">
        <v>1052</v>
      </c>
      <c r="J103" s="404" t="s">
        <v>1052</v>
      </c>
      <c r="K103" s="404" t="s">
        <v>1051</v>
      </c>
      <c r="L103" s="404" t="s">
        <v>1051</v>
      </c>
      <c r="M103" s="404" t="s">
        <v>1051</v>
      </c>
      <c r="N103" s="404" t="s">
        <v>1051</v>
      </c>
      <c r="O103" s="404">
        <v>25</v>
      </c>
      <c r="P103" s="404" t="s">
        <v>1052</v>
      </c>
      <c r="Q103" s="404" t="s">
        <v>1052</v>
      </c>
      <c r="R103" s="404" t="s">
        <v>1052</v>
      </c>
      <c r="S103" s="404" t="s">
        <v>1052</v>
      </c>
      <c r="T103" s="404" t="s">
        <v>1052</v>
      </c>
      <c r="U103" s="404" t="s">
        <v>1052</v>
      </c>
      <c r="V103" s="404" t="s">
        <v>1052</v>
      </c>
      <c r="W103" s="404" t="s">
        <v>1052</v>
      </c>
      <c r="X103" s="404" t="s">
        <v>1052</v>
      </c>
      <c r="Y103" s="404" t="s">
        <v>1051</v>
      </c>
    </row>
    <row r="104" spans="3:25" x14ac:dyDescent="0.2">
      <c r="C104" s="68" t="str">
        <f>'G-1 All Habitats'!B103</f>
        <v>Coastal lagoons - Coastal lagoons</v>
      </c>
      <c r="D104" s="404" t="s">
        <v>1051</v>
      </c>
      <c r="E104" s="404" t="s">
        <v>1051</v>
      </c>
      <c r="F104" s="404" t="s">
        <v>1051</v>
      </c>
      <c r="G104" s="404" t="s">
        <v>1051</v>
      </c>
      <c r="H104" s="404" t="s">
        <v>1051</v>
      </c>
      <c r="I104" s="404" t="s">
        <v>1051</v>
      </c>
      <c r="J104" s="404" t="s">
        <v>1051</v>
      </c>
      <c r="K104" s="404" t="s">
        <v>1051</v>
      </c>
      <c r="L104" s="404" t="s">
        <v>1051</v>
      </c>
      <c r="M104" s="404" t="s">
        <v>1051</v>
      </c>
      <c r="N104" s="404" t="s">
        <v>1051</v>
      </c>
      <c r="O104" s="404">
        <v>1</v>
      </c>
      <c r="P104" s="404">
        <v>4</v>
      </c>
      <c r="Q104" s="404">
        <v>8</v>
      </c>
      <c r="R104" s="404">
        <v>12</v>
      </c>
      <c r="S104" s="404">
        <v>3</v>
      </c>
      <c r="T104" s="404">
        <v>7</v>
      </c>
      <c r="U104" s="404">
        <v>11</v>
      </c>
      <c r="V104" s="404">
        <v>4</v>
      </c>
      <c r="W104" s="404">
        <v>8</v>
      </c>
      <c r="X104" s="404">
        <v>4</v>
      </c>
      <c r="Y104" s="404" t="s">
        <v>1051</v>
      </c>
    </row>
    <row r="105" spans="3:25" x14ac:dyDescent="0.2">
      <c r="C105" s="68" t="str">
        <f>'G-1 All Habitats'!B104</f>
        <v>Rocky shore - High energy littoral rock</v>
      </c>
      <c r="D105" s="404" t="s">
        <v>1051</v>
      </c>
      <c r="E105" s="404" t="s">
        <v>1051</v>
      </c>
      <c r="F105" s="404" t="s">
        <v>1051</v>
      </c>
      <c r="G105" s="404" t="s">
        <v>1051</v>
      </c>
      <c r="H105" s="404" t="s">
        <v>1051</v>
      </c>
      <c r="I105" s="404" t="s">
        <v>1051</v>
      </c>
      <c r="J105" s="404" t="s">
        <v>1051</v>
      </c>
      <c r="K105" s="404" t="s">
        <v>1051</v>
      </c>
      <c r="L105" s="404" t="s">
        <v>1051</v>
      </c>
      <c r="M105" s="404" t="s">
        <v>1051</v>
      </c>
      <c r="N105" s="404" t="s">
        <v>1051</v>
      </c>
      <c r="O105" s="404">
        <v>2</v>
      </c>
      <c r="P105" s="404">
        <v>4</v>
      </c>
      <c r="Q105" s="404">
        <v>6</v>
      </c>
      <c r="R105" s="404">
        <v>10</v>
      </c>
      <c r="S105" s="404">
        <v>2</v>
      </c>
      <c r="T105" s="404">
        <v>4</v>
      </c>
      <c r="U105" s="404">
        <v>8</v>
      </c>
      <c r="V105" s="404">
        <v>2</v>
      </c>
      <c r="W105" s="404">
        <v>6</v>
      </c>
      <c r="X105" s="404">
        <v>4</v>
      </c>
      <c r="Y105" s="404" t="s">
        <v>1051</v>
      </c>
    </row>
    <row r="106" spans="3:25" x14ac:dyDescent="0.2">
      <c r="C106" s="68" t="str">
        <f>'G-1 All Habitats'!B105</f>
        <v>Rocky shore - High energy littoral rock - on peat, clay or chalk</v>
      </c>
      <c r="D106" s="404" t="s">
        <v>1051</v>
      </c>
      <c r="E106" s="404" t="s">
        <v>1051</v>
      </c>
      <c r="F106" s="404" t="s">
        <v>1051</v>
      </c>
      <c r="G106" s="404" t="s">
        <v>1051</v>
      </c>
      <c r="H106" s="404" t="s">
        <v>1051</v>
      </c>
      <c r="I106" s="404" t="s">
        <v>1051</v>
      </c>
      <c r="J106" s="404" t="s">
        <v>1051</v>
      </c>
      <c r="K106" s="404" t="s">
        <v>1051</v>
      </c>
      <c r="L106" s="404" t="s">
        <v>1051</v>
      </c>
      <c r="M106" s="404" t="s">
        <v>1051</v>
      </c>
      <c r="N106" s="404" t="s">
        <v>1051</v>
      </c>
      <c r="O106" s="404">
        <v>2</v>
      </c>
      <c r="P106" s="404">
        <v>4</v>
      </c>
      <c r="Q106" s="404">
        <v>6</v>
      </c>
      <c r="R106" s="404">
        <v>10</v>
      </c>
      <c r="S106" s="404">
        <v>2</v>
      </c>
      <c r="T106" s="404">
        <v>4</v>
      </c>
      <c r="U106" s="404">
        <v>8</v>
      </c>
      <c r="V106" s="404">
        <v>2</v>
      </c>
      <c r="W106" s="404">
        <v>6</v>
      </c>
      <c r="X106" s="404">
        <v>4</v>
      </c>
      <c r="Y106" s="404" t="s">
        <v>1051</v>
      </c>
    </row>
    <row r="107" spans="3:25" x14ac:dyDescent="0.2">
      <c r="C107" s="68" t="str">
        <f>'G-1 All Habitats'!B106</f>
        <v>Rocky shore - Moderate energy littoral rock</v>
      </c>
      <c r="D107" s="404" t="s">
        <v>1051</v>
      </c>
      <c r="E107" s="404" t="s">
        <v>1051</v>
      </c>
      <c r="F107" s="404" t="s">
        <v>1051</v>
      </c>
      <c r="G107" s="404" t="s">
        <v>1051</v>
      </c>
      <c r="H107" s="404" t="s">
        <v>1051</v>
      </c>
      <c r="I107" s="404" t="s">
        <v>1051</v>
      </c>
      <c r="J107" s="404" t="s">
        <v>1051</v>
      </c>
      <c r="K107" s="404" t="s">
        <v>1051</v>
      </c>
      <c r="L107" s="404" t="s">
        <v>1051</v>
      </c>
      <c r="M107" s="404" t="s">
        <v>1051</v>
      </c>
      <c r="N107" s="404" t="s">
        <v>1051</v>
      </c>
      <c r="O107" s="404">
        <v>2</v>
      </c>
      <c r="P107" s="404">
        <v>4</v>
      </c>
      <c r="Q107" s="404">
        <v>6</v>
      </c>
      <c r="R107" s="404">
        <v>11</v>
      </c>
      <c r="S107" s="404">
        <v>2</v>
      </c>
      <c r="T107" s="404">
        <v>4</v>
      </c>
      <c r="U107" s="404">
        <v>9</v>
      </c>
      <c r="V107" s="404">
        <v>2</v>
      </c>
      <c r="W107" s="404">
        <v>7</v>
      </c>
      <c r="X107" s="404">
        <v>5</v>
      </c>
      <c r="Y107" s="404" t="s">
        <v>1051</v>
      </c>
    </row>
    <row r="108" spans="3:25" x14ac:dyDescent="0.2">
      <c r="C108" s="68" t="str">
        <f>'G-1 All Habitats'!B107</f>
        <v>Rocky shore - Moderate energy littoral rock - on peat, clay or chalk</v>
      </c>
      <c r="D108" s="404" t="s">
        <v>1051</v>
      </c>
      <c r="E108" s="404" t="s">
        <v>1051</v>
      </c>
      <c r="F108" s="404" t="s">
        <v>1051</v>
      </c>
      <c r="G108" s="404" t="s">
        <v>1051</v>
      </c>
      <c r="H108" s="404" t="s">
        <v>1051</v>
      </c>
      <c r="I108" s="404" t="s">
        <v>1051</v>
      </c>
      <c r="J108" s="404" t="s">
        <v>1051</v>
      </c>
      <c r="K108" s="404" t="s">
        <v>1051</v>
      </c>
      <c r="L108" s="404" t="s">
        <v>1051</v>
      </c>
      <c r="M108" s="404" t="s">
        <v>1051</v>
      </c>
      <c r="N108" s="404" t="s">
        <v>1051</v>
      </c>
      <c r="O108" s="404">
        <v>2</v>
      </c>
      <c r="P108" s="404">
        <v>4</v>
      </c>
      <c r="Q108" s="404">
        <v>6</v>
      </c>
      <c r="R108" s="404">
        <v>11</v>
      </c>
      <c r="S108" s="404">
        <v>2</v>
      </c>
      <c r="T108" s="404">
        <v>4</v>
      </c>
      <c r="U108" s="404">
        <v>9</v>
      </c>
      <c r="V108" s="404">
        <v>2</v>
      </c>
      <c r="W108" s="404">
        <v>7</v>
      </c>
      <c r="X108" s="404">
        <v>5</v>
      </c>
      <c r="Y108" s="404" t="s">
        <v>1051</v>
      </c>
    </row>
    <row r="109" spans="3:25" x14ac:dyDescent="0.2">
      <c r="C109" s="68" t="str">
        <f>'G-1 All Habitats'!B108</f>
        <v>Rocky shore - Low energy littoral rock</v>
      </c>
      <c r="D109" s="404" t="s">
        <v>1051</v>
      </c>
      <c r="E109" s="404" t="s">
        <v>1051</v>
      </c>
      <c r="F109" s="404" t="s">
        <v>1051</v>
      </c>
      <c r="G109" s="404" t="s">
        <v>1051</v>
      </c>
      <c r="H109" s="404" t="s">
        <v>1051</v>
      </c>
      <c r="I109" s="404" t="s">
        <v>1051</v>
      </c>
      <c r="J109" s="404" t="s">
        <v>1051</v>
      </c>
      <c r="K109" s="404" t="s">
        <v>1051</v>
      </c>
      <c r="L109" s="404" t="s">
        <v>1051</v>
      </c>
      <c r="M109" s="404" t="s">
        <v>1051</v>
      </c>
      <c r="N109" s="404" t="s">
        <v>1051</v>
      </c>
      <c r="O109" s="404">
        <v>2</v>
      </c>
      <c r="P109" s="404">
        <v>4</v>
      </c>
      <c r="Q109" s="404">
        <v>6</v>
      </c>
      <c r="R109" s="404">
        <v>12</v>
      </c>
      <c r="S109" s="404">
        <v>2</v>
      </c>
      <c r="T109" s="404">
        <v>4</v>
      </c>
      <c r="U109" s="404">
        <v>10</v>
      </c>
      <c r="V109" s="404">
        <v>2</v>
      </c>
      <c r="W109" s="404">
        <v>8</v>
      </c>
      <c r="X109" s="404">
        <v>6</v>
      </c>
      <c r="Y109" s="404" t="s">
        <v>1051</v>
      </c>
    </row>
    <row r="110" spans="3:25" x14ac:dyDescent="0.2">
      <c r="C110" s="68" t="str">
        <f>'G-1 All Habitats'!B109</f>
        <v>Rocky shore - Low energy littoral rock - on peat, clay or chalk</v>
      </c>
      <c r="D110" s="404" t="s">
        <v>1051</v>
      </c>
      <c r="E110" s="404" t="s">
        <v>1051</v>
      </c>
      <c r="F110" s="404" t="s">
        <v>1051</v>
      </c>
      <c r="G110" s="404" t="s">
        <v>1051</v>
      </c>
      <c r="H110" s="404" t="s">
        <v>1051</v>
      </c>
      <c r="I110" s="404" t="s">
        <v>1051</v>
      </c>
      <c r="J110" s="404" t="s">
        <v>1051</v>
      </c>
      <c r="K110" s="404" t="s">
        <v>1051</v>
      </c>
      <c r="L110" s="404" t="s">
        <v>1051</v>
      </c>
      <c r="M110" s="404" t="s">
        <v>1051</v>
      </c>
      <c r="N110" s="404" t="s">
        <v>1051</v>
      </c>
      <c r="O110" s="404">
        <v>2</v>
      </c>
      <c r="P110" s="404">
        <v>4</v>
      </c>
      <c r="Q110" s="404">
        <v>6</v>
      </c>
      <c r="R110" s="404">
        <v>12</v>
      </c>
      <c r="S110" s="404">
        <v>2</v>
      </c>
      <c r="T110" s="404">
        <v>4</v>
      </c>
      <c r="U110" s="404">
        <v>10</v>
      </c>
      <c r="V110" s="404">
        <v>2</v>
      </c>
      <c r="W110" s="404">
        <v>8</v>
      </c>
      <c r="X110" s="404">
        <v>6</v>
      </c>
      <c r="Y110" s="404" t="s">
        <v>1051</v>
      </c>
    </row>
    <row r="111" spans="3:25" x14ac:dyDescent="0.2">
      <c r="C111" s="68" t="str">
        <f>'G-1 All Habitats'!B110</f>
        <v>Rocky shore - Features of littoral rock</v>
      </c>
      <c r="D111" s="404" t="s">
        <v>1051</v>
      </c>
      <c r="E111" s="404" t="s">
        <v>1051</v>
      </c>
      <c r="F111" s="404" t="s">
        <v>1051</v>
      </c>
      <c r="G111" s="404" t="s">
        <v>1051</v>
      </c>
      <c r="H111" s="404" t="s">
        <v>1051</v>
      </c>
      <c r="I111" s="404" t="s">
        <v>1051</v>
      </c>
      <c r="J111" s="404" t="s">
        <v>1051</v>
      </c>
      <c r="K111" s="404" t="s">
        <v>1051</v>
      </c>
      <c r="L111" s="404" t="s">
        <v>1051</v>
      </c>
      <c r="M111" s="404" t="s">
        <v>1051</v>
      </c>
      <c r="N111" s="404" t="s">
        <v>1051</v>
      </c>
      <c r="O111" s="404">
        <v>2</v>
      </c>
      <c r="P111" s="404">
        <v>4</v>
      </c>
      <c r="Q111" s="404">
        <v>6</v>
      </c>
      <c r="R111" s="404">
        <v>11</v>
      </c>
      <c r="S111" s="404">
        <v>2</v>
      </c>
      <c r="T111" s="404">
        <v>4</v>
      </c>
      <c r="U111" s="404">
        <v>9</v>
      </c>
      <c r="V111" s="404">
        <v>2</v>
      </c>
      <c r="W111" s="404">
        <v>7</v>
      </c>
      <c r="X111" s="404">
        <v>5</v>
      </c>
      <c r="Y111" s="404" t="s">
        <v>1051</v>
      </c>
    </row>
    <row r="112" spans="3:25" x14ac:dyDescent="0.2">
      <c r="C112" s="68" t="str">
        <f>'G-1 All Habitats'!B111</f>
        <v>Rocky shore - Features of littoral rock - on peat, clay or chalk</v>
      </c>
      <c r="D112" s="404" t="s">
        <v>1051</v>
      </c>
      <c r="E112" s="404" t="s">
        <v>1051</v>
      </c>
      <c r="F112" s="404" t="s">
        <v>1051</v>
      </c>
      <c r="G112" s="404" t="s">
        <v>1051</v>
      </c>
      <c r="H112" s="404" t="s">
        <v>1051</v>
      </c>
      <c r="I112" s="404" t="s">
        <v>1051</v>
      </c>
      <c r="J112" s="404" t="s">
        <v>1051</v>
      </c>
      <c r="K112" s="404" t="s">
        <v>1051</v>
      </c>
      <c r="L112" s="404" t="s">
        <v>1051</v>
      </c>
      <c r="M112" s="404" t="s">
        <v>1051</v>
      </c>
      <c r="N112" s="404" t="s">
        <v>1051</v>
      </c>
      <c r="O112" s="404">
        <v>2</v>
      </c>
      <c r="P112" s="404">
        <v>4</v>
      </c>
      <c r="Q112" s="404">
        <v>6</v>
      </c>
      <c r="R112" s="404">
        <v>11</v>
      </c>
      <c r="S112" s="404">
        <v>2</v>
      </c>
      <c r="T112" s="404">
        <v>4</v>
      </c>
      <c r="U112" s="404">
        <v>9</v>
      </c>
      <c r="V112" s="404">
        <v>2</v>
      </c>
      <c r="W112" s="404">
        <v>7</v>
      </c>
      <c r="X112" s="404">
        <v>5</v>
      </c>
      <c r="Y112" s="404" t="s">
        <v>1051</v>
      </c>
    </row>
    <row r="113" spans="3:25" x14ac:dyDescent="0.2">
      <c r="C113" s="68" t="str">
        <f>'G-1 All Habitats'!B114</f>
        <v>Intertidal sediment - Littoral coarse sediment</v>
      </c>
      <c r="D113" s="404" t="s">
        <v>1051</v>
      </c>
      <c r="E113" s="404" t="s">
        <v>1051</v>
      </c>
      <c r="F113" s="404" t="s">
        <v>1051</v>
      </c>
      <c r="G113" s="404" t="s">
        <v>1051</v>
      </c>
      <c r="H113" s="404" t="s">
        <v>1051</v>
      </c>
      <c r="I113" s="404" t="s">
        <v>1051</v>
      </c>
      <c r="J113" s="404" t="s">
        <v>1051</v>
      </c>
      <c r="K113" s="404" t="s">
        <v>1051</v>
      </c>
      <c r="L113" s="404" t="s">
        <v>1051</v>
      </c>
      <c r="M113" s="404" t="s">
        <v>1051</v>
      </c>
      <c r="N113" s="404" t="s">
        <v>1051</v>
      </c>
      <c r="O113" s="404">
        <v>1</v>
      </c>
      <c r="P113" s="404">
        <v>2</v>
      </c>
      <c r="Q113" s="404">
        <v>3</v>
      </c>
      <c r="R113" s="404">
        <v>4</v>
      </c>
      <c r="S113" s="404">
        <v>1</v>
      </c>
      <c r="T113" s="404">
        <v>2</v>
      </c>
      <c r="U113" s="404">
        <v>3</v>
      </c>
      <c r="V113" s="404">
        <v>1</v>
      </c>
      <c r="W113" s="404">
        <v>2</v>
      </c>
      <c r="X113" s="404">
        <v>1</v>
      </c>
      <c r="Y113" s="404" t="s">
        <v>1051</v>
      </c>
    </row>
    <row r="114" spans="3:25" x14ac:dyDescent="0.2">
      <c r="C114" s="68" t="str">
        <f>'G-1 All Habitats'!B115</f>
        <v>Intertidal sediment - Littoral mud</v>
      </c>
      <c r="D114" s="404" t="s">
        <v>1051</v>
      </c>
      <c r="E114" s="404" t="s">
        <v>1051</v>
      </c>
      <c r="F114" s="404" t="s">
        <v>1051</v>
      </c>
      <c r="G114" s="404" t="s">
        <v>1051</v>
      </c>
      <c r="H114" s="404" t="s">
        <v>1051</v>
      </c>
      <c r="I114" s="404" t="s">
        <v>1051</v>
      </c>
      <c r="J114" s="404" t="s">
        <v>1051</v>
      </c>
      <c r="K114" s="404" t="s">
        <v>1051</v>
      </c>
      <c r="L114" s="404" t="s">
        <v>1051</v>
      </c>
      <c r="M114" s="404" t="s">
        <v>1051</v>
      </c>
      <c r="N114" s="404" t="s">
        <v>1051</v>
      </c>
      <c r="O114" s="404">
        <v>2</v>
      </c>
      <c r="P114" s="404">
        <v>4</v>
      </c>
      <c r="Q114" s="404">
        <v>6</v>
      </c>
      <c r="R114" s="404">
        <v>8</v>
      </c>
      <c r="S114" s="404">
        <v>2</v>
      </c>
      <c r="T114" s="404">
        <v>4</v>
      </c>
      <c r="U114" s="404">
        <v>6</v>
      </c>
      <c r="V114" s="404">
        <v>2</v>
      </c>
      <c r="W114" s="404">
        <v>4</v>
      </c>
      <c r="X114" s="404">
        <v>2</v>
      </c>
      <c r="Y114" s="404" t="s">
        <v>1051</v>
      </c>
    </row>
    <row r="115" spans="3:25" x14ac:dyDescent="0.2">
      <c r="C115" s="68" t="str">
        <f>'G-1 All Habitats'!B116</f>
        <v>Intertidal sediment - Littoral mixed sediments</v>
      </c>
      <c r="D115" s="404" t="s">
        <v>1051</v>
      </c>
      <c r="E115" s="404" t="s">
        <v>1051</v>
      </c>
      <c r="F115" s="404" t="s">
        <v>1051</v>
      </c>
      <c r="G115" s="404" t="s">
        <v>1051</v>
      </c>
      <c r="H115" s="404" t="s">
        <v>1051</v>
      </c>
      <c r="I115" s="404" t="s">
        <v>1051</v>
      </c>
      <c r="J115" s="404" t="s">
        <v>1051</v>
      </c>
      <c r="K115" s="404" t="s">
        <v>1051</v>
      </c>
      <c r="L115" s="404" t="s">
        <v>1051</v>
      </c>
      <c r="M115" s="404" t="s">
        <v>1051</v>
      </c>
      <c r="N115" s="404" t="s">
        <v>1051</v>
      </c>
      <c r="O115" s="404">
        <v>1</v>
      </c>
      <c r="P115" s="404">
        <v>2</v>
      </c>
      <c r="Q115" s="404">
        <v>3</v>
      </c>
      <c r="R115" s="404">
        <v>4</v>
      </c>
      <c r="S115" s="404">
        <v>1</v>
      </c>
      <c r="T115" s="404">
        <v>2</v>
      </c>
      <c r="U115" s="404">
        <v>3</v>
      </c>
      <c r="V115" s="404">
        <v>1</v>
      </c>
      <c r="W115" s="404">
        <v>2</v>
      </c>
      <c r="X115" s="404">
        <v>1</v>
      </c>
      <c r="Y115" s="404" t="s">
        <v>1051</v>
      </c>
    </row>
    <row r="116" spans="3:25" x14ac:dyDescent="0.2">
      <c r="C116" s="68" t="str">
        <f>'G-1 All Habitats'!B112</f>
        <v>Coastal saltmarsh - Saltmarshes and saline reedbeds</v>
      </c>
      <c r="D116" s="404" t="s">
        <v>1051</v>
      </c>
      <c r="E116" s="404" t="s">
        <v>1051</v>
      </c>
      <c r="F116" s="404" t="s">
        <v>1051</v>
      </c>
      <c r="G116" s="404" t="s">
        <v>1051</v>
      </c>
      <c r="H116" s="404" t="s">
        <v>1051</v>
      </c>
      <c r="I116" s="404" t="s">
        <v>1051</v>
      </c>
      <c r="J116" s="404" t="s">
        <v>1051</v>
      </c>
      <c r="K116" s="404" t="s">
        <v>1051</v>
      </c>
      <c r="L116" s="404" t="s">
        <v>1051</v>
      </c>
      <c r="M116" s="404" t="s">
        <v>1051</v>
      </c>
      <c r="N116" s="404" t="s">
        <v>1051</v>
      </c>
      <c r="O116" s="404">
        <v>2</v>
      </c>
      <c r="P116" s="404">
        <v>6</v>
      </c>
      <c r="Q116" s="404">
        <v>10</v>
      </c>
      <c r="R116" s="404">
        <v>20</v>
      </c>
      <c r="S116" s="404">
        <v>4</v>
      </c>
      <c r="T116" s="404">
        <v>8</v>
      </c>
      <c r="U116" s="404">
        <v>18</v>
      </c>
      <c r="V116" s="404">
        <v>4</v>
      </c>
      <c r="W116" s="404">
        <v>14</v>
      </c>
      <c r="X116" s="404">
        <v>10</v>
      </c>
      <c r="Y116" s="404" t="s">
        <v>1051</v>
      </c>
    </row>
    <row r="117" spans="3:25" x14ac:dyDescent="0.2">
      <c r="C117" s="68" t="str">
        <f>'G-1 All Habitats'!B113</f>
        <v>Coastal saltmarsh - Artificial saltmarshes and saline reedbeds</v>
      </c>
      <c r="D117" s="404" t="s">
        <v>1051</v>
      </c>
      <c r="E117" s="404" t="s">
        <v>1051</v>
      </c>
      <c r="F117" s="404" t="s">
        <v>1051</v>
      </c>
      <c r="G117" s="404" t="s">
        <v>1051</v>
      </c>
      <c r="H117" s="404" t="s">
        <v>1051</v>
      </c>
      <c r="I117" s="404" t="s">
        <v>1051</v>
      </c>
      <c r="J117" s="404" t="s">
        <v>1051</v>
      </c>
      <c r="K117" s="404" t="s">
        <v>1051</v>
      </c>
      <c r="L117" s="404" t="s">
        <v>1051</v>
      </c>
      <c r="M117" s="404" t="s">
        <v>1051</v>
      </c>
      <c r="N117" s="404" t="s">
        <v>1051</v>
      </c>
      <c r="O117" s="404">
        <v>2</v>
      </c>
      <c r="P117" s="404">
        <v>6</v>
      </c>
      <c r="Q117" s="404">
        <v>10</v>
      </c>
      <c r="R117" s="404">
        <v>20</v>
      </c>
      <c r="S117" s="404">
        <v>4</v>
      </c>
      <c r="T117" s="404">
        <v>8</v>
      </c>
      <c r="U117" s="404">
        <v>18</v>
      </c>
      <c r="V117" s="404">
        <v>4</v>
      </c>
      <c r="W117" s="404">
        <v>14</v>
      </c>
      <c r="X117" s="404">
        <v>10</v>
      </c>
      <c r="Y117" s="404" t="s">
        <v>1051</v>
      </c>
    </row>
    <row r="118" spans="3:25" x14ac:dyDescent="0.2">
      <c r="C118" s="68" t="str">
        <f>'G-1 All Habitats'!B117</f>
        <v>Intertidal sediment - Littoral seagrass</v>
      </c>
      <c r="D118" s="404" t="s">
        <v>1051</v>
      </c>
      <c r="E118" s="404" t="s">
        <v>1051</v>
      </c>
      <c r="F118" s="404" t="s">
        <v>1051</v>
      </c>
      <c r="G118" s="404" t="s">
        <v>1051</v>
      </c>
      <c r="H118" s="404" t="s">
        <v>1051</v>
      </c>
      <c r="I118" s="404" t="s">
        <v>1051</v>
      </c>
      <c r="J118" s="404" t="s">
        <v>1051</v>
      </c>
      <c r="K118" s="404" t="s">
        <v>1051</v>
      </c>
      <c r="L118" s="404" t="s">
        <v>1051</v>
      </c>
      <c r="M118" s="404" t="s">
        <v>1051</v>
      </c>
      <c r="N118" s="404" t="s">
        <v>1051</v>
      </c>
      <c r="O118" s="404">
        <v>3</v>
      </c>
      <c r="P118" s="404">
        <v>13</v>
      </c>
      <c r="Q118" s="404">
        <v>23</v>
      </c>
      <c r="R118" s="404" t="s">
        <v>1052</v>
      </c>
      <c r="S118" s="404">
        <v>10</v>
      </c>
      <c r="T118" s="404">
        <v>20</v>
      </c>
      <c r="U118" s="404">
        <v>30</v>
      </c>
      <c r="V118" s="404">
        <v>10</v>
      </c>
      <c r="W118" s="404">
        <v>20</v>
      </c>
      <c r="X118" s="404">
        <v>10</v>
      </c>
      <c r="Y118" s="404" t="s">
        <v>1051</v>
      </c>
    </row>
    <row r="119" spans="3:25" x14ac:dyDescent="0.2">
      <c r="C119" s="68" t="str">
        <f>'G-1 All Habitats'!B118</f>
        <v>Intertidal sediment - Littoral seagrass on peat, clay or chalk</v>
      </c>
      <c r="D119" s="404" t="s">
        <v>1051</v>
      </c>
      <c r="E119" s="404" t="s">
        <v>1051</v>
      </c>
      <c r="F119" s="404" t="s">
        <v>1051</v>
      </c>
      <c r="G119" s="404" t="s">
        <v>1051</v>
      </c>
      <c r="H119" s="404" t="s">
        <v>1051</v>
      </c>
      <c r="I119" s="404" t="s">
        <v>1051</v>
      </c>
      <c r="J119" s="404" t="s">
        <v>1051</v>
      </c>
      <c r="K119" s="404" t="s">
        <v>1051</v>
      </c>
      <c r="L119" s="404" t="s">
        <v>1051</v>
      </c>
      <c r="M119" s="404" t="s">
        <v>1051</v>
      </c>
      <c r="N119" s="404" t="s">
        <v>1051</v>
      </c>
      <c r="O119" s="404">
        <v>2</v>
      </c>
      <c r="P119" s="404">
        <v>4</v>
      </c>
      <c r="Q119" s="404">
        <v>7</v>
      </c>
      <c r="R119" s="404" t="s">
        <v>1052</v>
      </c>
      <c r="S119" s="404">
        <v>2</v>
      </c>
      <c r="T119" s="404">
        <v>3</v>
      </c>
      <c r="U119" s="404">
        <v>8</v>
      </c>
      <c r="V119" s="404">
        <v>3</v>
      </c>
      <c r="W119" s="404">
        <v>6</v>
      </c>
      <c r="X119" s="404">
        <v>3</v>
      </c>
      <c r="Y119" s="404" t="s">
        <v>1051</v>
      </c>
    </row>
    <row r="120" spans="3:25" x14ac:dyDescent="0.2">
      <c r="C120" s="68" t="str">
        <f>'G-1 All Habitats'!B119</f>
        <v>Intertidal sediment - Littoral biogenic reefs - Mussels</v>
      </c>
      <c r="D120" s="404" t="s">
        <v>1051</v>
      </c>
      <c r="E120" s="404" t="s">
        <v>1051</v>
      </c>
      <c r="F120" s="404" t="s">
        <v>1051</v>
      </c>
      <c r="G120" s="404" t="s">
        <v>1051</v>
      </c>
      <c r="H120" s="404" t="s">
        <v>1051</v>
      </c>
      <c r="I120" s="404" t="s">
        <v>1051</v>
      </c>
      <c r="J120" s="404" t="s">
        <v>1051</v>
      </c>
      <c r="K120" s="404" t="s">
        <v>1051</v>
      </c>
      <c r="L120" s="404" t="s">
        <v>1051</v>
      </c>
      <c r="M120" s="404" t="s">
        <v>1051</v>
      </c>
      <c r="N120" s="404" t="s">
        <v>1051</v>
      </c>
      <c r="O120" s="404">
        <v>2</v>
      </c>
      <c r="P120" s="404">
        <v>4</v>
      </c>
      <c r="Q120" s="404">
        <v>7</v>
      </c>
      <c r="R120" s="404">
        <v>10</v>
      </c>
      <c r="S120" s="404">
        <v>2</v>
      </c>
      <c r="T120" s="404">
        <v>3</v>
      </c>
      <c r="U120" s="404">
        <v>8</v>
      </c>
      <c r="V120" s="404">
        <v>3</v>
      </c>
      <c r="W120" s="404">
        <v>6</v>
      </c>
      <c r="X120" s="404">
        <v>3</v>
      </c>
      <c r="Y120" s="404" t="s">
        <v>1051</v>
      </c>
    </row>
    <row r="121" spans="3:25" x14ac:dyDescent="0.2">
      <c r="C121" s="68" t="str">
        <f>'G-1 All Habitats'!B120</f>
        <v>Intertidal sediment - Littoral biogenic reefs - Sabellaria</v>
      </c>
      <c r="D121" s="404" t="s">
        <v>1051</v>
      </c>
      <c r="E121" s="404" t="s">
        <v>1051</v>
      </c>
      <c r="F121" s="404" t="s">
        <v>1051</v>
      </c>
      <c r="G121" s="404" t="s">
        <v>1051</v>
      </c>
      <c r="H121" s="404" t="s">
        <v>1051</v>
      </c>
      <c r="I121" s="404" t="s">
        <v>1051</v>
      </c>
      <c r="J121" s="404" t="s">
        <v>1051</v>
      </c>
      <c r="K121" s="404" t="s">
        <v>1051</v>
      </c>
      <c r="L121" s="404" t="s">
        <v>1051</v>
      </c>
      <c r="M121" s="404" t="s">
        <v>1051</v>
      </c>
      <c r="N121" s="404" t="s">
        <v>1051</v>
      </c>
      <c r="O121" s="404">
        <v>2</v>
      </c>
      <c r="P121" s="404">
        <v>4</v>
      </c>
      <c r="Q121" s="404">
        <v>7</v>
      </c>
      <c r="R121" s="404">
        <v>10</v>
      </c>
      <c r="S121" s="404">
        <v>2</v>
      </c>
      <c r="T121" s="404">
        <v>3</v>
      </c>
      <c r="U121" s="404">
        <v>8</v>
      </c>
      <c r="V121" s="404">
        <v>3</v>
      </c>
      <c r="W121" s="404">
        <v>6</v>
      </c>
      <c r="X121" s="404">
        <v>3</v>
      </c>
      <c r="Y121" s="404" t="s">
        <v>1051</v>
      </c>
    </row>
    <row r="122" spans="3:25" x14ac:dyDescent="0.2">
      <c r="C122" s="68" t="str">
        <f>'G-1 All Habitats'!B121</f>
        <v>Intertidal sediment - Features of littoral sediment</v>
      </c>
      <c r="D122" s="404" t="s">
        <v>1051</v>
      </c>
      <c r="E122" s="404" t="s">
        <v>1051</v>
      </c>
      <c r="F122" s="404" t="s">
        <v>1051</v>
      </c>
      <c r="G122" s="404" t="s">
        <v>1051</v>
      </c>
      <c r="H122" s="404" t="s">
        <v>1051</v>
      </c>
      <c r="I122" s="404" t="s">
        <v>1051</v>
      </c>
      <c r="J122" s="404" t="s">
        <v>1051</v>
      </c>
      <c r="K122" s="404" t="s">
        <v>1051</v>
      </c>
      <c r="L122" s="404" t="s">
        <v>1051</v>
      </c>
      <c r="M122" s="404" t="s">
        <v>1051</v>
      </c>
      <c r="N122" s="404" t="s">
        <v>1051</v>
      </c>
      <c r="O122" s="404">
        <v>1</v>
      </c>
      <c r="P122" s="404">
        <v>2</v>
      </c>
      <c r="Q122" s="404">
        <v>3</v>
      </c>
      <c r="R122" s="404">
        <v>5</v>
      </c>
      <c r="S122" s="404">
        <v>1</v>
      </c>
      <c r="T122" s="404">
        <v>2</v>
      </c>
      <c r="U122" s="404">
        <v>4</v>
      </c>
      <c r="V122" s="404">
        <v>1</v>
      </c>
      <c r="W122" s="404">
        <v>3</v>
      </c>
      <c r="X122" s="404">
        <v>2</v>
      </c>
      <c r="Y122" s="404" t="s">
        <v>1051</v>
      </c>
    </row>
    <row r="123" spans="3:25" x14ac:dyDescent="0.2">
      <c r="C123" s="68" t="str">
        <f>'G-1 All Habitats'!B122</f>
        <v>Intertidal sediment - Artificial littoral coarse sediment</v>
      </c>
      <c r="D123" s="404" t="s">
        <v>1051</v>
      </c>
      <c r="E123" s="404" t="s">
        <v>1051</v>
      </c>
      <c r="F123" s="404" t="s">
        <v>1051</v>
      </c>
      <c r="G123" s="404" t="s">
        <v>1051</v>
      </c>
      <c r="H123" s="404" t="s">
        <v>1051</v>
      </c>
      <c r="I123" s="404" t="s">
        <v>1051</v>
      </c>
      <c r="J123" s="404" t="s">
        <v>1051</v>
      </c>
      <c r="K123" s="404" t="s">
        <v>1051</v>
      </c>
      <c r="L123" s="404" t="s">
        <v>1051</v>
      </c>
      <c r="M123" s="404" t="s">
        <v>1051</v>
      </c>
      <c r="N123" s="404" t="s">
        <v>1051</v>
      </c>
      <c r="O123" s="404">
        <v>1</v>
      </c>
      <c r="P123" s="404">
        <v>2</v>
      </c>
      <c r="Q123" s="404">
        <v>3</v>
      </c>
      <c r="R123" s="404">
        <v>4</v>
      </c>
      <c r="S123" s="404">
        <v>1</v>
      </c>
      <c r="T123" s="404">
        <v>2</v>
      </c>
      <c r="U123" s="404">
        <v>3</v>
      </c>
      <c r="V123" s="404">
        <v>1</v>
      </c>
      <c r="W123" s="404">
        <v>2</v>
      </c>
      <c r="X123" s="404">
        <v>1</v>
      </c>
      <c r="Y123" s="404" t="s">
        <v>1051</v>
      </c>
    </row>
    <row r="124" spans="3:25" x14ac:dyDescent="0.2">
      <c r="C124" s="68" t="str">
        <f>'G-1 All Habitats'!B123</f>
        <v>Intertidal sediment - Artificial littoral mud</v>
      </c>
      <c r="D124" s="404" t="s">
        <v>1051</v>
      </c>
      <c r="E124" s="404" t="s">
        <v>1051</v>
      </c>
      <c r="F124" s="404" t="s">
        <v>1051</v>
      </c>
      <c r="G124" s="404" t="s">
        <v>1051</v>
      </c>
      <c r="H124" s="404" t="s">
        <v>1051</v>
      </c>
      <c r="I124" s="404" t="s">
        <v>1051</v>
      </c>
      <c r="J124" s="404" t="s">
        <v>1051</v>
      </c>
      <c r="K124" s="404" t="s">
        <v>1051</v>
      </c>
      <c r="L124" s="404" t="s">
        <v>1051</v>
      </c>
      <c r="M124" s="404" t="s">
        <v>1051</v>
      </c>
      <c r="N124" s="404" t="s">
        <v>1051</v>
      </c>
      <c r="O124" s="404">
        <v>2</v>
      </c>
      <c r="P124" s="404">
        <v>4</v>
      </c>
      <c r="Q124" s="404">
        <v>6</v>
      </c>
      <c r="R124" s="404">
        <v>8</v>
      </c>
      <c r="S124" s="404">
        <v>2</v>
      </c>
      <c r="T124" s="404">
        <v>4</v>
      </c>
      <c r="U124" s="404">
        <v>6</v>
      </c>
      <c r="V124" s="404">
        <v>2</v>
      </c>
      <c r="W124" s="404">
        <v>4</v>
      </c>
      <c r="X124" s="404">
        <v>2</v>
      </c>
      <c r="Y124" s="404" t="s">
        <v>1051</v>
      </c>
    </row>
    <row r="125" spans="3:25" x14ac:dyDescent="0.2">
      <c r="C125" s="68" t="str">
        <f>'G-1 All Habitats'!B124</f>
        <v>Intertidal sediment - Artificial littoral sand</v>
      </c>
      <c r="D125" s="404" t="s">
        <v>1051</v>
      </c>
      <c r="E125" s="404" t="s">
        <v>1051</v>
      </c>
      <c r="F125" s="404" t="s">
        <v>1051</v>
      </c>
      <c r="G125" s="404" t="s">
        <v>1051</v>
      </c>
      <c r="H125" s="404" t="s">
        <v>1051</v>
      </c>
      <c r="I125" s="404" t="s">
        <v>1051</v>
      </c>
      <c r="J125" s="404" t="s">
        <v>1051</v>
      </c>
      <c r="K125" s="404" t="s">
        <v>1051</v>
      </c>
      <c r="L125" s="404" t="s">
        <v>1051</v>
      </c>
      <c r="M125" s="404" t="s">
        <v>1051</v>
      </c>
      <c r="N125" s="404" t="s">
        <v>1051</v>
      </c>
      <c r="O125" s="404">
        <v>2</v>
      </c>
      <c r="P125" s="404">
        <v>3</v>
      </c>
      <c r="Q125" s="404">
        <v>4</v>
      </c>
      <c r="R125" s="404">
        <v>6</v>
      </c>
      <c r="S125" s="404">
        <v>1</v>
      </c>
      <c r="T125" s="404">
        <v>2</v>
      </c>
      <c r="U125" s="404">
        <v>4</v>
      </c>
      <c r="V125" s="404">
        <v>1</v>
      </c>
      <c r="W125" s="404">
        <v>3</v>
      </c>
      <c r="X125" s="404">
        <v>2</v>
      </c>
      <c r="Y125" s="404" t="s">
        <v>1051</v>
      </c>
    </row>
    <row r="126" spans="3:25" x14ac:dyDescent="0.2">
      <c r="C126" s="68" t="str">
        <f>'G-1 All Habitats'!B125</f>
        <v>Intertidal sediment - Artificial littoral muddy sand</v>
      </c>
      <c r="D126" s="404" t="s">
        <v>1051</v>
      </c>
      <c r="E126" s="404" t="s">
        <v>1051</v>
      </c>
      <c r="F126" s="404" t="s">
        <v>1051</v>
      </c>
      <c r="G126" s="404" t="s">
        <v>1051</v>
      </c>
      <c r="H126" s="404" t="s">
        <v>1051</v>
      </c>
      <c r="I126" s="404" t="s">
        <v>1051</v>
      </c>
      <c r="J126" s="404" t="s">
        <v>1051</v>
      </c>
      <c r="K126" s="404" t="s">
        <v>1051</v>
      </c>
      <c r="L126" s="404" t="s">
        <v>1051</v>
      </c>
      <c r="M126" s="404" t="s">
        <v>1051</v>
      </c>
      <c r="N126" s="404" t="s">
        <v>1051</v>
      </c>
      <c r="O126" s="404">
        <v>2</v>
      </c>
      <c r="P126" s="404">
        <v>4</v>
      </c>
      <c r="Q126" s="404">
        <v>6</v>
      </c>
      <c r="R126" s="404">
        <v>8</v>
      </c>
      <c r="S126" s="404">
        <v>2</v>
      </c>
      <c r="T126" s="404">
        <v>4</v>
      </c>
      <c r="U126" s="404">
        <v>6</v>
      </c>
      <c r="V126" s="404">
        <v>2</v>
      </c>
      <c r="W126" s="404">
        <v>4</v>
      </c>
      <c r="X126" s="404">
        <v>2</v>
      </c>
      <c r="Y126" s="404" t="s">
        <v>1051</v>
      </c>
    </row>
    <row r="127" spans="3:25" x14ac:dyDescent="0.2">
      <c r="C127" s="68" t="str">
        <f>'G-1 All Habitats'!B126</f>
        <v>Intertidal sediment - Artificial littoral mixed sediments</v>
      </c>
      <c r="D127" s="404" t="s">
        <v>1051</v>
      </c>
      <c r="E127" s="404" t="s">
        <v>1051</v>
      </c>
      <c r="F127" s="404" t="s">
        <v>1051</v>
      </c>
      <c r="G127" s="404" t="s">
        <v>1051</v>
      </c>
      <c r="H127" s="404" t="s">
        <v>1051</v>
      </c>
      <c r="I127" s="404" t="s">
        <v>1051</v>
      </c>
      <c r="J127" s="404" t="s">
        <v>1051</v>
      </c>
      <c r="K127" s="404" t="s">
        <v>1051</v>
      </c>
      <c r="L127" s="404" t="s">
        <v>1051</v>
      </c>
      <c r="M127" s="404" t="s">
        <v>1051</v>
      </c>
      <c r="N127" s="404" t="s">
        <v>1051</v>
      </c>
      <c r="O127" s="404">
        <v>1</v>
      </c>
      <c r="P127" s="404">
        <v>2</v>
      </c>
      <c r="Q127" s="404">
        <v>3</v>
      </c>
      <c r="R127" s="404">
        <v>4</v>
      </c>
      <c r="S127" s="404">
        <v>1</v>
      </c>
      <c r="T127" s="404">
        <v>2</v>
      </c>
      <c r="U127" s="404">
        <v>3</v>
      </c>
      <c r="V127" s="404">
        <v>1</v>
      </c>
      <c r="W127" s="404">
        <v>2</v>
      </c>
      <c r="X127" s="404">
        <v>1</v>
      </c>
      <c r="Y127" s="404" t="s">
        <v>1051</v>
      </c>
    </row>
    <row r="128" spans="3:25" x14ac:dyDescent="0.2">
      <c r="C128" s="68" t="str">
        <f>'G-1 All Habitats'!B127</f>
        <v>Intertidal sediment - Artificial littoral seagrass</v>
      </c>
      <c r="D128" s="404" t="s">
        <v>1051</v>
      </c>
      <c r="E128" s="404" t="s">
        <v>1051</v>
      </c>
      <c r="F128" s="404" t="s">
        <v>1051</v>
      </c>
      <c r="G128" s="404" t="s">
        <v>1051</v>
      </c>
      <c r="H128" s="404" t="s">
        <v>1051</v>
      </c>
      <c r="I128" s="404" t="s">
        <v>1051</v>
      </c>
      <c r="J128" s="404" t="s">
        <v>1051</v>
      </c>
      <c r="K128" s="404" t="s">
        <v>1051</v>
      </c>
      <c r="L128" s="404" t="s">
        <v>1051</v>
      </c>
      <c r="M128" s="404" t="s">
        <v>1051</v>
      </c>
      <c r="N128" s="404" t="s">
        <v>1051</v>
      </c>
      <c r="O128" s="404">
        <v>3</v>
      </c>
      <c r="P128" s="404">
        <v>13</v>
      </c>
      <c r="Q128" s="404">
        <v>23</v>
      </c>
      <c r="R128" s="404" t="s">
        <v>1052</v>
      </c>
      <c r="S128" s="404">
        <v>10</v>
      </c>
      <c r="T128" s="404">
        <v>20</v>
      </c>
      <c r="U128" s="404">
        <v>30</v>
      </c>
      <c r="V128" s="404">
        <v>10</v>
      </c>
      <c r="W128" s="404">
        <v>20</v>
      </c>
      <c r="X128" s="404">
        <v>10</v>
      </c>
      <c r="Y128" s="404" t="s">
        <v>1051</v>
      </c>
    </row>
    <row r="129" spans="3:25" x14ac:dyDescent="0.2">
      <c r="C129" s="68" t="str">
        <f>'G-1 All Habitats'!B128</f>
        <v>Intertidal sediment - Artificial littoral biogenic reefs</v>
      </c>
      <c r="D129" s="404" t="s">
        <v>1051</v>
      </c>
      <c r="E129" s="404" t="s">
        <v>1051</v>
      </c>
      <c r="F129" s="404" t="s">
        <v>1051</v>
      </c>
      <c r="G129" s="404" t="s">
        <v>1051</v>
      </c>
      <c r="H129" s="404" t="s">
        <v>1051</v>
      </c>
      <c r="I129" s="404" t="s">
        <v>1051</v>
      </c>
      <c r="J129" s="404" t="s">
        <v>1051</v>
      </c>
      <c r="K129" s="404" t="s">
        <v>1051</v>
      </c>
      <c r="L129" s="404" t="s">
        <v>1051</v>
      </c>
      <c r="M129" s="404" t="s">
        <v>1051</v>
      </c>
      <c r="N129" s="404" t="s">
        <v>1051</v>
      </c>
      <c r="O129" s="404">
        <v>2</v>
      </c>
      <c r="P129" s="404">
        <v>4</v>
      </c>
      <c r="Q129" s="404">
        <v>7</v>
      </c>
      <c r="R129" s="404">
        <v>10</v>
      </c>
      <c r="S129" s="404">
        <v>2</v>
      </c>
      <c r="T129" s="404">
        <v>3</v>
      </c>
      <c r="U129" s="404">
        <v>8</v>
      </c>
      <c r="V129" s="404">
        <v>3</v>
      </c>
      <c r="W129" s="404">
        <v>6</v>
      </c>
      <c r="X129" s="404">
        <v>3</v>
      </c>
      <c r="Y129" s="404" t="s">
        <v>1051</v>
      </c>
    </row>
    <row r="130" spans="3:25" x14ac:dyDescent="0.2">
      <c r="C130" s="68" t="str">
        <f>'G-1 All Habitats'!B129</f>
        <v>Intertidal sediment - Littoral sand</v>
      </c>
      <c r="D130" s="404" t="s">
        <v>1051</v>
      </c>
      <c r="E130" s="404" t="s">
        <v>1051</v>
      </c>
      <c r="F130" s="404" t="s">
        <v>1051</v>
      </c>
      <c r="G130" s="404" t="s">
        <v>1051</v>
      </c>
      <c r="H130" s="404" t="s">
        <v>1051</v>
      </c>
      <c r="I130" s="404" t="s">
        <v>1051</v>
      </c>
      <c r="J130" s="404" t="s">
        <v>1051</v>
      </c>
      <c r="K130" s="404" t="s">
        <v>1051</v>
      </c>
      <c r="L130" s="404" t="s">
        <v>1051</v>
      </c>
      <c r="M130" s="404" t="s">
        <v>1051</v>
      </c>
      <c r="N130" s="404" t="s">
        <v>1051</v>
      </c>
      <c r="O130" s="404">
        <v>2</v>
      </c>
      <c r="P130" s="404">
        <v>3</v>
      </c>
      <c r="Q130" s="404">
        <v>4</v>
      </c>
      <c r="R130" s="404">
        <v>6</v>
      </c>
      <c r="S130" s="404">
        <v>1</v>
      </c>
      <c r="T130" s="404">
        <v>2</v>
      </c>
      <c r="U130" s="404">
        <v>4</v>
      </c>
      <c r="V130" s="404">
        <v>1</v>
      </c>
      <c r="W130" s="404">
        <v>3</v>
      </c>
      <c r="X130" s="404">
        <v>2</v>
      </c>
      <c r="Y130" s="404" t="s">
        <v>1051</v>
      </c>
    </row>
    <row r="131" spans="3:25" x14ac:dyDescent="0.2">
      <c r="C131" s="68" t="str">
        <f>'G-1 All Habitats'!B130</f>
        <v>Intertidal sediment - Littoral muddy sand</v>
      </c>
      <c r="D131" s="404" t="s">
        <v>1051</v>
      </c>
      <c r="E131" s="404" t="s">
        <v>1051</v>
      </c>
      <c r="F131" s="404" t="s">
        <v>1051</v>
      </c>
      <c r="G131" s="404" t="s">
        <v>1051</v>
      </c>
      <c r="H131" s="404" t="s">
        <v>1051</v>
      </c>
      <c r="I131" s="404" t="s">
        <v>1051</v>
      </c>
      <c r="J131" s="404" t="s">
        <v>1051</v>
      </c>
      <c r="K131" s="404" t="s">
        <v>1051</v>
      </c>
      <c r="L131" s="404" t="s">
        <v>1051</v>
      </c>
      <c r="M131" s="404" t="s">
        <v>1051</v>
      </c>
      <c r="N131" s="404" t="s">
        <v>1051</v>
      </c>
      <c r="O131" s="404">
        <v>2</v>
      </c>
      <c r="P131" s="404">
        <v>4</v>
      </c>
      <c r="Q131" s="404">
        <v>6</v>
      </c>
      <c r="R131" s="404">
        <v>8</v>
      </c>
      <c r="S131" s="404">
        <v>2</v>
      </c>
      <c r="T131" s="404">
        <v>4</v>
      </c>
      <c r="U131" s="404">
        <v>6</v>
      </c>
      <c r="V131" s="404">
        <v>2</v>
      </c>
      <c r="W131" s="404">
        <v>4</v>
      </c>
      <c r="X131" s="404">
        <v>2</v>
      </c>
      <c r="Y131" s="404" t="s">
        <v>1051</v>
      </c>
    </row>
    <row r="132" spans="3:25" x14ac:dyDescent="0.2">
      <c r="C132" s="68" t="str">
        <f>'G-1 All Habitats'!B131</f>
        <v>Intertidal hard structures - Artificial hard structures</v>
      </c>
      <c r="D132" s="404" t="s">
        <v>1051</v>
      </c>
      <c r="E132" s="404" t="s">
        <v>1051</v>
      </c>
      <c r="F132" s="404" t="s">
        <v>1051</v>
      </c>
      <c r="G132" s="404" t="s">
        <v>1051</v>
      </c>
      <c r="H132" s="404" t="s">
        <v>1051</v>
      </c>
      <c r="I132" s="404" t="s">
        <v>1051</v>
      </c>
      <c r="J132" s="404" t="s">
        <v>1051</v>
      </c>
      <c r="K132" s="404" t="s">
        <v>1051</v>
      </c>
      <c r="L132" s="404" t="s">
        <v>1051</v>
      </c>
      <c r="M132" s="404" t="s">
        <v>1051</v>
      </c>
      <c r="N132" s="404" t="s">
        <v>1051</v>
      </c>
      <c r="O132" s="404">
        <v>6</v>
      </c>
      <c r="P132" s="404">
        <v>4</v>
      </c>
      <c r="Q132" s="404">
        <v>10</v>
      </c>
      <c r="R132" s="404">
        <v>2</v>
      </c>
      <c r="S132" s="404">
        <v>2</v>
      </c>
      <c r="T132" s="404">
        <v>8</v>
      </c>
      <c r="U132" s="404">
        <v>6</v>
      </c>
      <c r="V132" s="404">
        <v>2</v>
      </c>
      <c r="W132" s="404">
        <v>12</v>
      </c>
      <c r="X132" s="404">
        <v>4</v>
      </c>
      <c r="Y132" s="404" t="s">
        <v>1051</v>
      </c>
    </row>
    <row r="133" spans="3:25" x14ac:dyDescent="0.2">
      <c r="C133" s="68" t="str">
        <f>'G-1 All Habitats'!B132</f>
        <v>Intertidal hard structures - Artificial features of hard structures</v>
      </c>
      <c r="D133" s="404" t="s">
        <v>1051</v>
      </c>
      <c r="E133" s="404" t="s">
        <v>1051</v>
      </c>
      <c r="F133" s="404" t="s">
        <v>1051</v>
      </c>
      <c r="G133" s="404" t="s">
        <v>1051</v>
      </c>
      <c r="H133" s="404" t="s">
        <v>1051</v>
      </c>
      <c r="I133" s="404" t="s">
        <v>1051</v>
      </c>
      <c r="J133" s="404" t="s">
        <v>1051</v>
      </c>
      <c r="K133" s="404" t="s">
        <v>1051</v>
      </c>
      <c r="L133" s="404" t="s">
        <v>1051</v>
      </c>
      <c r="M133" s="404" t="s">
        <v>1051</v>
      </c>
      <c r="N133" s="404" t="s">
        <v>1051</v>
      </c>
      <c r="O133" s="404">
        <v>5</v>
      </c>
      <c r="P133" s="404">
        <v>4</v>
      </c>
      <c r="Q133" s="404">
        <v>9</v>
      </c>
      <c r="R133" s="404">
        <v>2</v>
      </c>
      <c r="S133" s="404">
        <v>2</v>
      </c>
      <c r="T133" s="404">
        <v>7</v>
      </c>
      <c r="U133" s="404">
        <v>6</v>
      </c>
      <c r="V133" s="404">
        <v>2</v>
      </c>
      <c r="W133" s="404">
        <v>11</v>
      </c>
      <c r="X133" s="404">
        <v>4</v>
      </c>
      <c r="Y133" s="404" t="s">
        <v>1051</v>
      </c>
    </row>
    <row r="134" spans="3:25" x14ac:dyDescent="0.2">
      <c r="C134" s="68" t="str">
        <f>'G-1 All Habitats'!B133</f>
        <v>Intertidal hard structures - Artificial hard structures with integrated greening of grey infrastructure (IGGI)</v>
      </c>
      <c r="D134" s="404" t="s">
        <v>1051</v>
      </c>
      <c r="E134" s="404" t="s">
        <v>1051</v>
      </c>
      <c r="F134" s="404" t="s">
        <v>1051</v>
      </c>
      <c r="G134" s="404" t="s">
        <v>1051</v>
      </c>
      <c r="H134" s="404" t="s">
        <v>1051</v>
      </c>
      <c r="I134" s="404" t="s">
        <v>1051</v>
      </c>
      <c r="J134" s="404" t="s">
        <v>1051</v>
      </c>
      <c r="K134" s="404" t="s">
        <v>1051</v>
      </c>
      <c r="L134" s="404" t="s">
        <v>1051</v>
      </c>
      <c r="M134" s="404" t="s">
        <v>1051</v>
      </c>
      <c r="N134" s="404" t="s">
        <v>1051</v>
      </c>
      <c r="O134" s="404">
        <v>5</v>
      </c>
      <c r="P134" s="404">
        <v>4</v>
      </c>
      <c r="Q134" s="404">
        <v>9</v>
      </c>
      <c r="R134" s="404">
        <v>2</v>
      </c>
      <c r="S134" s="404">
        <v>2</v>
      </c>
      <c r="T134" s="404">
        <v>7</v>
      </c>
      <c r="U134" s="404">
        <v>6</v>
      </c>
      <c r="V134" s="404">
        <v>2</v>
      </c>
      <c r="W134" s="404">
        <v>11</v>
      </c>
      <c r="X134" s="404">
        <v>4</v>
      </c>
      <c r="Y134" s="404" t="s">
        <v>1051</v>
      </c>
    </row>
    <row r="135" spans="3:25" x14ac:dyDescent="0.2">
      <c r="C135" s="68" t="str">
        <f>'G-1 All Habitats'!B134</f>
        <v>Watercourse footprint - Watercourse footprint</v>
      </c>
      <c r="D135" s="404" t="s">
        <v>1051</v>
      </c>
      <c r="E135" s="404" t="s">
        <v>1051</v>
      </c>
      <c r="F135" s="404" t="s">
        <v>1051</v>
      </c>
      <c r="G135" s="404" t="s">
        <v>1051</v>
      </c>
      <c r="H135" s="404" t="s">
        <v>1051</v>
      </c>
      <c r="I135" s="404" t="s">
        <v>1051</v>
      </c>
      <c r="J135" s="404" t="s">
        <v>1051</v>
      </c>
      <c r="K135" s="404" t="s">
        <v>1051</v>
      </c>
      <c r="L135" s="404" t="s">
        <v>1051</v>
      </c>
      <c r="M135" s="404" t="s">
        <v>1051</v>
      </c>
      <c r="N135" s="404" t="s">
        <v>1051</v>
      </c>
      <c r="O135" s="404" t="s">
        <v>1051</v>
      </c>
      <c r="P135" s="404" t="s">
        <v>1051</v>
      </c>
      <c r="Q135" s="404" t="s">
        <v>1051</v>
      </c>
      <c r="R135" s="404" t="s">
        <v>1051</v>
      </c>
      <c r="S135" s="404" t="s">
        <v>1051</v>
      </c>
      <c r="T135" s="404" t="s">
        <v>1051</v>
      </c>
      <c r="U135" s="404" t="s">
        <v>1051</v>
      </c>
      <c r="V135" s="404" t="s">
        <v>1051</v>
      </c>
      <c r="W135" s="404" t="s">
        <v>1051</v>
      </c>
      <c r="X135" s="404" t="s">
        <v>1051</v>
      </c>
      <c r="Y135" s="404" t="s">
        <v>1051</v>
      </c>
    </row>
    <row r="136" spans="3:25" x14ac:dyDescent="0.2">
      <c r="C136" s="68" t="str">
        <f>'G-1 All Habitats'!B81</f>
        <v>Individual trees - Rural tree</v>
      </c>
      <c r="D136" s="404" t="s">
        <v>1051</v>
      </c>
      <c r="E136" s="404" t="s">
        <v>1051</v>
      </c>
      <c r="F136" s="404" t="s">
        <v>1051</v>
      </c>
      <c r="G136" s="404" t="s">
        <v>1051</v>
      </c>
      <c r="H136" s="404" t="s">
        <v>1051</v>
      </c>
      <c r="I136" s="404" t="s">
        <v>1051</v>
      </c>
      <c r="J136" s="404" t="s">
        <v>1051</v>
      </c>
      <c r="K136" s="404" t="s">
        <v>1051</v>
      </c>
      <c r="L136" s="404" t="s">
        <v>1051</v>
      </c>
      <c r="M136" s="404" t="s">
        <v>1051</v>
      </c>
      <c r="N136" s="404" t="s">
        <v>1051</v>
      </c>
      <c r="O136" s="404">
        <v>8</v>
      </c>
      <c r="P136" s="404">
        <v>16</v>
      </c>
      <c r="Q136" s="404">
        <v>24</v>
      </c>
      <c r="R136" s="404" t="s">
        <v>1052</v>
      </c>
      <c r="S136" s="404">
        <v>8</v>
      </c>
      <c r="T136" s="404">
        <v>16</v>
      </c>
      <c r="U136" s="404">
        <v>24</v>
      </c>
      <c r="V136" s="404">
        <v>8</v>
      </c>
      <c r="W136" s="404">
        <v>16</v>
      </c>
      <c r="X136" s="404">
        <v>8</v>
      </c>
      <c r="Y136" s="404" t="s">
        <v>1051</v>
      </c>
    </row>
    <row r="147" x14ac:dyDescent="0.2"/>
    <row r="273" x14ac:dyDescent="0.2"/>
    <row r="274" x14ac:dyDescent="0.2"/>
    <row r="275"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4.25" zeroHeight="1" x14ac:dyDescent="0.2"/>
  <cols>
    <col min="1" max="1" width="8.28515625" style="30" customWidth="1"/>
    <col min="2" max="2" width="66.42578125" style="30" bestFit="1" customWidth="1"/>
    <col min="3" max="3" width="17.28515625" style="30" customWidth="1"/>
    <col min="4" max="4" width="17.140625" style="30" customWidth="1"/>
    <col min="5" max="5" width="10.28515625" style="30" customWidth="1"/>
    <col min="6" max="6" width="9.5703125" style="30" hidden="1" customWidth="1"/>
    <col min="7" max="7" width="12.140625" style="30" customWidth="1"/>
    <col min="8" max="8" width="10" style="30" hidden="1" customWidth="1"/>
    <col min="9" max="9" width="10.28515625" style="30" customWidth="1"/>
    <col min="10" max="10" width="8.140625" style="30" hidden="1" customWidth="1"/>
    <col min="11" max="11" width="12.140625" style="30" customWidth="1"/>
    <col min="12" max="12" width="7.85546875" style="30" hidden="1" customWidth="1"/>
    <col min="13" max="13" width="10.7109375" style="30" customWidth="1"/>
    <col min="14" max="14" width="10.5703125" style="30" hidden="1" customWidth="1"/>
    <col min="15" max="15" width="10.7109375" style="30" hidden="1" customWidth="1"/>
    <col min="16" max="16" width="4.140625" style="30" hidden="1" customWidth="1"/>
    <col min="17" max="17" width="12.5703125" style="157" customWidth="1"/>
    <col min="18" max="18" width="4.140625" style="30" hidden="1" customWidth="1"/>
    <col min="19" max="19" width="8.28515625" style="30" customWidth="1"/>
    <col min="20" max="31" width="5.28515625" style="30" bestFit="1" customWidth="1"/>
    <col min="32" max="32" width="12.7109375" style="30" customWidth="1"/>
    <col min="33" max="33" width="15.7109375" style="30" customWidth="1"/>
    <col min="34" max="34" width="32.140625" style="30" customWidth="1"/>
    <col min="35" max="35" width="8.85546875" style="30" customWidth="1"/>
    <col min="36" max="37" width="14" style="30" customWidth="1"/>
    <col min="38" max="38" width="8.85546875" style="30" customWidth="1"/>
    <col min="39" max="39" width="66.42578125" style="30" bestFit="1" customWidth="1"/>
    <col min="40" max="40" width="14.5703125" style="30" bestFit="1" customWidth="1"/>
    <col min="41" max="52" width="16.85546875" style="30" bestFit="1" customWidth="1"/>
    <col min="53" max="56" width="8.85546875" style="30" customWidth="1"/>
    <col min="57" max="61" width="8.85546875" style="30" hidden="1" customWidth="1"/>
    <col min="62" max="62" width="12.42578125" style="142" hidden="1" customWidth="1"/>
    <col min="63" max="64" width="12" style="30" hidden="1" customWidth="1"/>
    <col min="65" max="75" width="0" style="30" hidden="1" customWidth="1"/>
    <col min="76" max="16384" width="8.85546875" style="30" hidden="1"/>
  </cols>
  <sheetData>
    <row r="1" spans="1:64" ht="66.75" customHeight="1" thickBot="1" x14ac:dyDescent="0.35">
      <c r="A1" s="1648"/>
      <c r="B1" s="1651"/>
      <c r="C1" s="1655" t="s">
        <v>270</v>
      </c>
      <c r="D1" s="1656"/>
      <c r="E1" s="1652" t="s">
        <v>1079</v>
      </c>
      <c r="F1" s="1653"/>
      <c r="G1" s="1653"/>
      <c r="H1" s="1653"/>
      <c r="I1" s="1654"/>
      <c r="J1" s="1652" t="s">
        <v>1080</v>
      </c>
      <c r="K1" s="1653"/>
      <c r="L1" s="1653"/>
      <c r="M1" s="1653"/>
      <c r="N1" s="1653"/>
      <c r="O1" s="1653"/>
      <c r="P1" s="1653"/>
      <c r="Q1" s="1653"/>
      <c r="R1" s="1654"/>
      <c r="S1" s="1652" t="s">
        <v>1081</v>
      </c>
      <c r="T1" s="1653"/>
      <c r="U1" s="1653"/>
      <c r="V1" s="1653"/>
      <c r="W1" s="1653"/>
      <c r="X1" s="1653"/>
      <c r="Y1" s="1653"/>
      <c r="Z1" s="1653"/>
      <c r="AA1" s="1653"/>
      <c r="AB1" s="1653"/>
      <c r="AC1" s="1653"/>
      <c r="AD1" s="1653"/>
      <c r="AE1" s="1654"/>
      <c r="AF1" s="1655" t="s">
        <v>380</v>
      </c>
      <c r="AG1" s="1656"/>
      <c r="AH1" s="1534" t="s">
        <v>1082</v>
      </c>
      <c r="AJ1" s="1655" t="s">
        <v>358</v>
      </c>
      <c r="AK1" s="1656"/>
      <c r="AM1" s="141" t="s">
        <v>1083</v>
      </c>
      <c r="AN1" s="1659" t="s">
        <v>1084</v>
      </c>
      <c r="AO1" s="1659"/>
      <c r="AP1" s="1659"/>
      <c r="AQ1" s="1659"/>
      <c r="AR1" s="1659"/>
      <c r="AS1" s="1659"/>
      <c r="AT1" s="1659"/>
      <c r="AU1" s="1659"/>
      <c r="AV1" s="1659"/>
      <c r="AW1" s="1659"/>
      <c r="AX1" s="1659"/>
      <c r="AY1" s="1659"/>
      <c r="AZ1" s="1659"/>
      <c r="BK1" s="1657" t="s">
        <v>1085</v>
      </c>
      <c r="BL1" s="1658"/>
    </row>
    <row r="2" spans="1:64" ht="182.25" customHeight="1" thickBot="1" x14ac:dyDescent="0.25">
      <c r="B2" s="143" t="s">
        <v>936</v>
      </c>
      <c r="C2" s="140" t="s">
        <v>449</v>
      </c>
      <c r="D2" s="144" t="s">
        <v>450</v>
      </c>
      <c r="E2" s="140" t="s">
        <v>329</v>
      </c>
      <c r="F2" s="145"/>
      <c r="G2" s="145" t="s">
        <v>67</v>
      </c>
      <c r="H2" s="145"/>
      <c r="I2" s="144" t="s">
        <v>68</v>
      </c>
      <c r="J2" s="140"/>
      <c r="K2" s="145" t="s">
        <v>1069</v>
      </c>
      <c r="L2" s="145"/>
      <c r="M2" s="145" t="s">
        <v>1071</v>
      </c>
      <c r="N2" s="145"/>
      <c r="O2" s="145"/>
      <c r="P2" s="145"/>
      <c r="Q2" s="144" t="s">
        <v>1076</v>
      </c>
      <c r="R2" s="146"/>
      <c r="S2" s="147" t="s">
        <v>167</v>
      </c>
      <c r="T2" s="148" t="s">
        <v>168</v>
      </c>
      <c r="U2" s="148" t="s">
        <v>169</v>
      </c>
      <c r="V2" s="148" t="s">
        <v>170</v>
      </c>
      <c r="W2" s="148" t="s">
        <v>171</v>
      </c>
      <c r="X2" s="148" t="s">
        <v>172</v>
      </c>
      <c r="Y2" s="148" t="s">
        <v>173</v>
      </c>
      <c r="Z2" s="148" t="s">
        <v>174</v>
      </c>
      <c r="AA2" s="148" t="s">
        <v>175</v>
      </c>
      <c r="AB2" s="148" t="s">
        <v>176</v>
      </c>
      <c r="AC2" s="148" t="s">
        <v>177</v>
      </c>
      <c r="AD2" s="148" t="s">
        <v>1086</v>
      </c>
      <c r="AE2" s="148" t="s">
        <v>179</v>
      </c>
      <c r="AF2" s="140" t="s">
        <v>452</v>
      </c>
      <c r="AG2" s="144" t="s">
        <v>453</v>
      </c>
      <c r="AH2" s="1567"/>
      <c r="AJ2" s="140" t="s">
        <v>1087</v>
      </c>
      <c r="AK2" s="144" t="s">
        <v>1088</v>
      </c>
      <c r="AM2" s="149" t="s">
        <v>1089</v>
      </c>
      <c r="AN2" s="132" t="s">
        <v>167</v>
      </c>
      <c r="AO2" s="132" t="s">
        <v>168</v>
      </c>
      <c r="AP2" s="132" t="s">
        <v>169</v>
      </c>
      <c r="AQ2" s="132" t="s">
        <v>170</v>
      </c>
      <c r="AR2" s="132" t="s">
        <v>171</v>
      </c>
      <c r="AS2" s="132" t="s">
        <v>172</v>
      </c>
      <c r="AT2" s="132" t="s">
        <v>173</v>
      </c>
      <c r="AU2" s="132" t="s">
        <v>174</v>
      </c>
      <c r="AV2" s="132" t="s">
        <v>175</v>
      </c>
      <c r="AW2" s="132" t="s">
        <v>176</v>
      </c>
      <c r="AX2" s="132" t="s">
        <v>177</v>
      </c>
      <c r="AY2" s="132" t="s">
        <v>1086</v>
      </c>
      <c r="AZ2" s="132" t="s">
        <v>179</v>
      </c>
      <c r="BK2" s="69" t="s">
        <v>1090</v>
      </c>
      <c r="BL2" s="69" t="s">
        <v>1091</v>
      </c>
    </row>
    <row r="3" spans="1:64" ht="30.75" customHeight="1" thickBot="1" x14ac:dyDescent="0.25">
      <c r="A3" s="150"/>
      <c r="B3" s="480" t="s">
        <v>167</v>
      </c>
      <c r="C3" s="443" t="s">
        <v>468</v>
      </c>
      <c r="D3" s="444">
        <v>8</v>
      </c>
      <c r="E3" s="445">
        <v>1</v>
      </c>
      <c r="F3" s="446"/>
      <c r="G3" s="446">
        <v>10</v>
      </c>
      <c r="H3" s="446"/>
      <c r="I3" s="444">
        <v>20</v>
      </c>
      <c r="J3" s="445"/>
      <c r="K3" s="446">
        <v>6</v>
      </c>
      <c r="L3" s="446"/>
      <c r="M3" s="446">
        <v>10</v>
      </c>
      <c r="N3" s="446"/>
      <c r="O3" s="446"/>
      <c r="P3" s="446"/>
      <c r="Q3" s="444">
        <v>4</v>
      </c>
      <c r="R3" s="447"/>
      <c r="S3" s="448" t="s">
        <v>1092</v>
      </c>
      <c r="T3" s="449" t="s">
        <v>1092</v>
      </c>
      <c r="U3" s="449" t="s">
        <v>1092</v>
      </c>
      <c r="V3" s="449" t="s">
        <v>1092</v>
      </c>
      <c r="W3" s="449" t="s">
        <v>1092</v>
      </c>
      <c r="X3" s="449" t="s">
        <v>1092</v>
      </c>
      <c r="Y3" s="449" t="s">
        <v>1092</v>
      </c>
      <c r="Z3" s="449" t="s">
        <v>1092</v>
      </c>
      <c r="AA3" s="449" t="s">
        <v>1092</v>
      </c>
      <c r="AB3" s="449" t="s">
        <v>1092</v>
      </c>
      <c r="AC3" s="449" t="s">
        <v>1092</v>
      </c>
      <c r="AD3" s="449" t="s">
        <v>1092</v>
      </c>
      <c r="AE3" s="450" t="s">
        <v>1092</v>
      </c>
      <c r="AF3" s="451" t="s">
        <v>216</v>
      </c>
      <c r="AG3" s="452" t="s">
        <v>216</v>
      </c>
      <c r="AH3" s="453" t="s">
        <v>1093</v>
      </c>
      <c r="AJ3" s="152" t="s">
        <v>68</v>
      </c>
      <c r="AK3" s="461">
        <v>3</v>
      </c>
      <c r="AM3" s="151" t="s">
        <v>167</v>
      </c>
      <c r="AN3" s="449" t="s">
        <v>1094</v>
      </c>
      <c r="AO3" s="464" t="s">
        <v>1095</v>
      </c>
      <c r="AP3" s="449" t="s">
        <v>1095</v>
      </c>
      <c r="AQ3" s="449" t="s">
        <v>1095</v>
      </c>
      <c r="AR3" s="449" t="s">
        <v>1095</v>
      </c>
      <c r="AS3" s="449" t="s">
        <v>1095</v>
      </c>
      <c r="AT3" s="449" t="s">
        <v>1095</v>
      </c>
      <c r="AU3" s="449" t="s">
        <v>1095</v>
      </c>
      <c r="AV3" s="449" t="s">
        <v>1095</v>
      </c>
      <c r="AW3" s="449" t="s">
        <v>1095</v>
      </c>
      <c r="AX3" s="449" t="s">
        <v>1095</v>
      </c>
      <c r="AY3" s="449" t="s">
        <v>1095</v>
      </c>
      <c r="AZ3" s="449" t="s">
        <v>1095</v>
      </c>
      <c r="BJ3" s="142" t="s">
        <v>1090</v>
      </c>
      <c r="BK3" s="153" t="s">
        <v>68</v>
      </c>
      <c r="BL3" s="153" t="s">
        <v>329</v>
      </c>
    </row>
    <row r="4" spans="1:64" ht="30.75" customHeight="1" thickBot="1" x14ac:dyDescent="0.25">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1092</v>
      </c>
      <c r="U4" s="449" t="s">
        <v>1092</v>
      </c>
      <c r="V4" s="449" t="s">
        <v>1092</v>
      </c>
      <c r="W4" s="449" t="s">
        <v>1092</v>
      </c>
      <c r="X4" s="449" t="s">
        <v>1092</v>
      </c>
      <c r="Y4" s="449" t="s">
        <v>1092</v>
      </c>
      <c r="Z4" s="449" t="s">
        <v>1092</v>
      </c>
      <c r="AA4" s="449" t="s">
        <v>1092</v>
      </c>
      <c r="AB4" s="449" t="s">
        <v>1092</v>
      </c>
      <c r="AC4" s="449" t="s">
        <v>1092</v>
      </c>
      <c r="AD4" s="449" t="s">
        <v>1092</v>
      </c>
      <c r="AE4" s="450" t="s">
        <v>1092</v>
      </c>
      <c r="AF4" s="451" t="s">
        <v>216</v>
      </c>
      <c r="AG4" s="452" t="s">
        <v>216</v>
      </c>
      <c r="AH4" s="455" t="s">
        <v>241</v>
      </c>
      <c r="AJ4" s="67" t="s">
        <v>67</v>
      </c>
      <c r="AK4" s="462">
        <v>2</v>
      </c>
      <c r="AM4" s="151" t="s">
        <v>168</v>
      </c>
      <c r="AN4" s="449" t="s">
        <v>1096</v>
      </c>
      <c r="AO4" s="464" t="s">
        <v>1097</v>
      </c>
      <c r="AP4" s="449" t="s">
        <v>1097</v>
      </c>
      <c r="AQ4" s="449" t="s">
        <v>1097</v>
      </c>
      <c r="AR4" s="449" t="s">
        <v>1095</v>
      </c>
      <c r="AS4" s="449" t="s">
        <v>1095</v>
      </c>
      <c r="AT4" s="449" t="s">
        <v>1095</v>
      </c>
      <c r="AU4" s="449" t="s">
        <v>1095</v>
      </c>
      <c r="AV4" s="449" t="s">
        <v>1095</v>
      </c>
      <c r="AW4" s="449" t="s">
        <v>1095</v>
      </c>
      <c r="AX4" s="449" t="s">
        <v>1095</v>
      </c>
      <c r="AY4" s="449" t="s">
        <v>1095</v>
      </c>
      <c r="AZ4" s="449" t="s">
        <v>1095</v>
      </c>
      <c r="BJ4" s="142" t="s">
        <v>1090</v>
      </c>
      <c r="BK4" s="153" t="s">
        <v>67</v>
      </c>
    </row>
    <row r="5" spans="1:64" ht="30.75" customHeight="1" thickBot="1" x14ac:dyDescent="0.25">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1092</v>
      </c>
      <c r="U5" s="449" t="s">
        <v>1092</v>
      </c>
      <c r="V5" s="449" t="s">
        <v>1092</v>
      </c>
      <c r="W5" s="449" t="s">
        <v>1092</v>
      </c>
      <c r="X5" s="449" t="s">
        <v>1092</v>
      </c>
      <c r="Y5" s="449" t="s">
        <v>1092</v>
      </c>
      <c r="Z5" s="449" t="s">
        <v>1092</v>
      </c>
      <c r="AA5" s="449" t="s">
        <v>1092</v>
      </c>
      <c r="AB5" s="449" t="s">
        <v>1092</v>
      </c>
      <c r="AC5" s="449" t="s">
        <v>1092</v>
      </c>
      <c r="AD5" s="449" t="s">
        <v>1092</v>
      </c>
      <c r="AE5" s="450" t="s">
        <v>1092</v>
      </c>
      <c r="AF5" s="451" t="s">
        <v>216</v>
      </c>
      <c r="AG5" s="452" t="s">
        <v>216</v>
      </c>
      <c r="AH5" s="455" t="s">
        <v>241</v>
      </c>
      <c r="AJ5" s="69" t="s">
        <v>329</v>
      </c>
      <c r="AK5" s="463">
        <v>1</v>
      </c>
      <c r="AM5" s="151" t="s">
        <v>169</v>
      </c>
      <c r="AN5" s="449" t="s">
        <v>1096</v>
      </c>
      <c r="AO5" s="464" t="s">
        <v>1097</v>
      </c>
      <c r="AP5" s="449" t="s">
        <v>1097</v>
      </c>
      <c r="AQ5" s="449" t="s">
        <v>1097</v>
      </c>
      <c r="AR5" s="449" t="s">
        <v>1095</v>
      </c>
      <c r="AS5" s="449" t="s">
        <v>1095</v>
      </c>
      <c r="AT5" s="449" t="s">
        <v>1095</v>
      </c>
      <c r="AU5" s="449" t="s">
        <v>1095</v>
      </c>
      <c r="AV5" s="449" t="s">
        <v>1095</v>
      </c>
      <c r="AW5" s="449" t="s">
        <v>1095</v>
      </c>
      <c r="AX5" s="449" t="s">
        <v>1095</v>
      </c>
      <c r="AY5" s="449" t="s">
        <v>1095</v>
      </c>
      <c r="AZ5" s="449" t="s">
        <v>1095</v>
      </c>
      <c r="BJ5" s="142" t="s">
        <v>1090</v>
      </c>
      <c r="BK5" s="153" t="s">
        <v>329</v>
      </c>
    </row>
    <row r="6" spans="1:64" ht="30.75" customHeight="1" thickBot="1" x14ac:dyDescent="0.25">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1092</v>
      </c>
      <c r="U6" s="449" t="s">
        <v>1092</v>
      </c>
      <c r="V6" s="449" t="s">
        <v>1092</v>
      </c>
      <c r="W6" s="449" t="s">
        <v>1092</v>
      </c>
      <c r="X6" s="449" t="s">
        <v>1092</v>
      </c>
      <c r="Y6" s="449" t="s">
        <v>1092</v>
      </c>
      <c r="Z6" s="449" t="s">
        <v>1092</v>
      </c>
      <c r="AA6" s="449" t="s">
        <v>1092</v>
      </c>
      <c r="AB6" s="449" t="s">
        <v>1092</v>
      </c>
      <c r="AC6" s="449" t="s">
        <v>1092</v>
      </c>
      <c r="AD6" s="449" t="s">
        <v>1092</v>
      </c>
      <c r="AE6" s="450" t="s">
        <v>1092</v>
      </c>
      <c r="AF6" s="451" t="s">
        <v>216</v>
      </c>
      <c r="AG6" s="452" t="s">
        <v>216</v>
      </c>
      <c r="AH6" s="455" t="s">
        <v>241</v>
      </c>
      <c r="AM6" s="151" t="s">
        <v>170</v>
      </c>
      <c r="AN6" s="464" t="s">
        <v>1096</v>
      </c>
      <c r="AO6" s="464" t="s">
        <v>1097</v>
      </c>
      <c r="AP6" s="464" t="s">
        <v>1097</v>
      </c>
      <c r="AQ6" s="464" t="s">
        <v>1097</v>
      </c>
      <c r="AR6" s="464" t="s">
        <v>1095</v>
      </c>
      <c r="AS6" s="464" t="s">
        <v>1095</v>
      </c>
      <c r="AT6" s="464" t="s">
        <v>1095</v>
      </c>
      <c r="AU6" s="464" t="s">
        <v>1095</v>
      </c>
      <c r="AV6" s="464" t="s">
        <v>1095</v>
      </c>
      <c r="AW6" s="464" t="s">
        <v>1095</v>
      </c>
      <c r="AX6" s="464" t="s">
        <v>1095</v>
      </c>
      <c r="AY6" s="464" t="s">
        <v>1095</v>
      </c>
      <c r="AZ6" s="464" t="s">
        <v>1095</v>
      </c>
      <c r="BJ6" s="142" t="s">
        <v>1090</v>
      </c>
    </row>
    <row r="7" spans="1:64" ht="43.5" thickBot="1" x14ac:dyDescent="0.25">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1092</v>
      </c>
      <c r="X7" s="449" t="s">
        <v>1092</v>
      </c>
      <c r="Y7" s="449" t="s">
        <v>1092</v>
      </c>
      <c r="Z7" s="449" t="s">
        <v>1092</v>
      </c>
      <c r="AA7" s="449" t="s">
        <v>1092</v>
      </c>
      <c r="AB7" s="449" t="s">
        <v>1092</v>
      </c>
      <c r="AC7" s="449" t="s">
        <v>1092</v>
      </c>
      <c r="AD7" s="449" t="s">
        <v>1092</v>
      </c>
      <c r="AE7" s="450" t="s">
        <v>1092</v>
      </c>
      <c r="AF7" s="451" t="s">
        <v>216</v>
      </c>
      <c r="AG7" s="452" t="s">
        <v>216</v>
      </c>
      <c r="AH7" s="455" t="s">
        <v>1098</v>
      </c>
      <c r="AM7" s="151" t="s">
        <v>171</v>
      </c>
      <c r="AN7" s="464" t="s">
        <v>1099</v>
      </c>
      <c r="AO7" s="382" t="s">
        <v>1100</v>
      </c>
      <c r="AP7" s="382" t="s">
        <v>1100</v>
      </c>
      <c r="AQ7" s="382" t="s">
        <v>1100</v>
      </c>
      <c r="AR7" s="382" t="s">
        <v>1101</v>
      </c>
      <c r="AS7" s="382" t="s">
        <v>1101</v>
      </c>
      <c r="AT7" s="382" t="s">
        <v>1101</v>
      </c>
      <c r="AU7" s="382" t="s">
        <v>1102</v>
      </c>
      <c r="AV7" s="382" t="s">
        <v>1102</v>
      </c>
      <c r="AW7" s="464" t="s">
        <v>1095</v>
      </c>
      <c r="AX7" s="464" t="s">
        <v>1095</v>
      </c>
      <c r="AY7" s="464" t="s">
        <v>1095</v>
      </c>
      <c r="AZ7" s="464" t="s">
        <v>1095</v>
      </c>
      <c r="BJ7" s="142" t="s">
        <v>1090</v>
      </c>
    </row>
    <row r="8" spans="1:64" ht="43.5" thickBot="1" x14ac:dyDescent="0.25">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1092</v>
      </c>
      <c r="X8" s="449" t="s">
        <v>1092</v>
      </c>
      <c r="Y8" s="449" t="s">
        <v>1092</v>
      </c>
      <c r="Z8" s="449" t="s">
        <v>1092</v>
      </c>
      <c r="AA8" s="449" t="s">
        <v>1092</v>
      </c>
      <c r="AB8" s="449" t="s">
        <v>1092</v>
      </c>
      <c r="AC8" s="449" t="s">
        <v>1092</v>
      </c>
      <c r="AD8" s="449" t="s">
        <v>1092</v>
      </c>
      <c r="AE8" s="450" t="s">
        <v>1092</v>
      </c>
      <c r="AF8" s="451" t="s">
        <v>216</v>
      </c>
      <c r="AG8" s="452" t="s">
        <v>216</v>
      </c>
      <c r="AH8" s="455" t="s">
        <v>1098</v>
      </c>
      <c r="AM8" s="151" t="s">
        <v>172</v>
      </c>
      <c r="AN8" s="464" t="s">
        <v>1099</v>
      </c>
      <c r="AO8" s="382" t="s">
        <v>1100</v>
      </c>
      <c r="AP8" s="382" t="s">
        <v>1100</v>
      </c>
      <c r="AQ8" s="382" t="s">
        <v>1100</v>
      </c>
      <c r="AR8" s="382" t="s">
        <v>1101</v>
      </c>
      <c r="AS8" s="382" t="s">
        <v>1101</v>
      </c>
      <c r="AT8" s="382" t="s">
        <v>1101</v>
      </c>
      <c r="AU8" s="382" t="s">
        <v>1102</v>
      </c>
      <c r="AV8" s="382" t="s">
        <v>1102</v>
      </c>
      <c r="AW8" s="464" t="s">
        <v>1095</v>
      </c>
      <c r="AX8" s="464" t="s">
        <v>1095</v>
      </c>
      <c r="AY8" s="464" t="s">
        <v>1095</v>
      </c>
      <c r="AZ8" s="464" t="s">
        <v>1095</v>
      </c>
      <c r="BJ8" s="142" t="s">
        <v>1090</v>
      </c>
    </row>
    <row r="9" spans="1:64" ht="29.25" thickBot="1" x14ac:dyDescent="0.25">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1092</v>
      </c>
      <c r="X9" s="449" t="s">
        <v>1092</v>
      </c>
      <c r="Y9" s="449" t="s">
        <v>1092</v>
      </c>
      <c r="Z9" s="449" t="s">
        <v>1092</v>
      </c>
      <c r="AA9" s="449" t="s">
        <v>1092</v>
      </c>
      <c r="AB9" s="449" t="s">
        <v>1092</v>
      </c>
      <c r="AC9" s="449" t="s">
        <v>1092</v>
      </c>
      <c r="AD9" s="449" t="s">
        <v>1092</v>
      </c>
      <c r="AE9" s="450" t="s">
        <v>1092</v>
      </c>
      <c r="AF9" s="451" t="s">
        <v>216</v>
      </c>
      <c r="AG9" s="452" t="s">
        <v>216</v>
      </c>
      <c r="AH9" s="455" t="s">
        <v>1098</v>
      </c>
      <c r="AM9" s="151" t="s">
        <v>173</v>
      </c>
      <c r="AN9" s="464" t="s">
        <v>1099</v>
      </c>
      <c r="AO9" s="382" t="s">
        <v>1100</v>
      </c>
      <c r="AP9" s="382" t="s">
        <v>1100</v>
      </c>
      <c r="AQ9" s="382" t="s">
        <v>1100</v>
      </c>
      <c r="AR9" s="382" t="s">
        <v>1101</v>
      </c>
      <c r="AS9" s="382" t="s">
        <v>1101</v>
      </c>
      <c r="AT9" s="382" t="s">
        <v>1101</v>
      </c>
      <c r="AU9" s="382" t="s">
        <v>1101</v>
      </c>
      <c r="AV9" s="382" t="s">
        <v>1101</v>
      </c>
      <c r="AW9" s="464" t="s">
        <v>1095</v>
      </c>
      <c r="AX9" s="464" t="s">
        <v>1095</v>
      </c>
      <c r="AY9" s="464" t="s">
        <v>1095</v>
      </c>
      <c r="AZ9" s="464" t="s">
        <v>1095</v>
      </c>
      <c r="BJ9" s="142" t="s">
        <v>1090</v>
      </c>
    </row>
    <row r="10" spans="1:64" ht="43.5" thickBot="1" x14ac:dyDescent="0.25">
      <c r="B10" s="481" t="s">
        <v>174</v>
      </c>
      <c r="C10" s="398" t="s">
        <v>70</v>
      </c>
      <c r="D10" s="452">
        <v>4</v>
      </c>
      <c r="E10" s="451">
        <v>5</v>
      </c>
      <c r="F10" s="404"/>
      <c r="G10" s="404">
        <v>20</v>
      </c>
      <c r="H10" s="404"/>
      <c r="I10" s="452" t="s">
        <v>1052</v>
      </c>
      <c r="J10" s="451"/>
      <c r="K10" s="404">
        <v>20</v>
      </c>
      <c r="L10" s="404"/>
      <c r="M10" s="404">
        <v>30</v>
      </c>
      <c r="N10" s="404"/>
      <c r="O10" s="404"/>
      <c r="P10" s="404"/>
      <c r="Q10" s="452">
        <v>10</v>
      </c>
      <c r="R10" s="454"/>
      <c r="S10" s="451">
        <v>12</v>
      </c>
      <c r="T10" s="404">
        <v>12</v>
      </c>
      <c r="U10" s="449" t="s">
        <v>1092</v>
      </c>
      <c r="V10" s="404">
        <v>12</v>
      </c>
      <c r="W10" s="449" t="s">
        <v>1092</v>
      </c>
      <c r="X10" s="449" t="s">
        <v>1092</v>
      </c>
      <c r="Y10" s="449" t="s">
        <v>1092</v>
      </c>
      <c r="Z10" s="449" t="s">
        <v>1092</v>
      </c>
      <c r="AA10" s="449" t="s">
        <v>1092</v>
      </c>
      <c r="AB10" s="449" t="s">
        <v>1092</v>
      </c>
      <c r="AC10" s="449" t="s">
        <v>1092</v>
      </c>
      <c r="AD10" s="449" t="s">
        <v>1092</v>
      </c>
      <c r="AE10" s="450" t="s">
        <v>1092</v>
      </c>
      <c r="AF10" s="451" t="s">
        <v>216</v>
      </c>
      <c r="AG10" s="452" t="s">
        <v>216</v>
      </c>
      <c r="AH10" s="455" t="s">
        <v>1098</v>
      </c>
      <c r="AM10" s="151" t="s">
        <v>174</v>
      </c>
      <c r="AN10" s="464" t="s">
        <v>1099</v>
      </c>
      <c r="AO10" s="382" t="s">
        <v>1100</v>
      </c>
      <c r="AP10" s="382" t="s">
        <v>1102</v>
      </c>
      <c r="AQ10" s="382" t="s">
        <v>1100</v>
      </c>
      <c r="AR10" s="382" t="s">
        <v>1102</v>
      </c>
      <c r="AS10" s="382" t="s">
        <v>1102</v>
      </c>
      <c r="AT10" s="382" t="s">
        <v>1101</v>
      </c>
      <c r="AU10" s="382" t="s">
        <v>1101</v>
      </c>
      <c r="AV10" s="382" t="s">
        <v>1101</v>
      </c>
      <c r="AW10" s="464" t="s">
        <v>1095</v>
      </c>
      <c r="AX10" s="464" t="s">
        <v>1095</v>
      </c>
      <c r="AY10" s="464" t="s">
        <v>1095</v>
      </c>
      <c r="AZ10" s="464" t="s">
        <v>1095</v>
      </c>
      <c r="BJ10" s="142" t="s">
        <v>1090</v>
      </c>
    </row>
    <row r="11" spans="1:64" ht="43.5" thickBot="1" x14ac:dyDescent="0.25">
      <c r="B11" s="481" t="s">
        <v>175</v>
      </c>
      <c r="C11" s="398" t="s">
        <v>70</v>
      </c>
      <c r="D11" s="452">
        <v>4</v>
      </c>
      <c r="E11" s="451">
        <v>5</v>
      </c>
      <c r="F11" s="404"/>
      <c r="G11" s="404">
        <v>20</v>
      </c>
      <c r="H11" s="404"/>
      <c r="I11" s="452" t="s">
        <v>1052</v>
      </c>
      <c r="J11" s="451"/>
      <c r="K11" s="404">
        <v>20</v>
      </c>
      <c r="L11" s="404"/>
      <c r="M11" s="404">
        <v>30</v>
      </c>
      <c r="N11" s="404"/>
      <c r="O11" s="404"/>
      <c r="P11" s="404"/>
      <c r="Q11" s="452">
        <v>10</v>
      </c>
      <c r="R11" s="454"/>
      <c r="S11" s="451">
        <v>12</v>
      </c>
      <c r="T11" s="404">
        <v>12</v>
      </c>
      <c r="U11" s="449" t="s">
        <v>1092</v>
      </c>
      <c r="V11" s="404">
        <v>12</v>
      </c>
      <c r="W11" s="449" t="s">
        <v>1092</v>
      </c>
      <c r="X11" s="449" t="s">
        <v>1092</v>
      </c>
      <c r="Y11" s="449" t="s">
        <v>1092</v>
      </c>
      <c r="Z11" s="449" t="s">
        <v>1092</v>
      </c>
      <c r="AA11" s="449" t="s">
        <v>1092</v>
      </c>
      <c r="AB11" s="449" t="s">
        <v>1092</v>
      </c>
      <c r="AC11" s="449" t="s">
        <v>1092</v>
      </c>
      <c r="AD11" s="449" t="s">
        <v>1092</v>
      </c>
      <c r="AE11" s="450" t="s">
        <v>1092</v>
      </c>
      <c r="AF11" s="451" t="s">
        <v>216</v>
      </c>
      <c r="AG11" s="452" t="s">
        <v>216</v>
      </c>
      <c r="AH11" s="455" t="s">
        <v>1098</v>
      </c>
      <c r="AM11" s="151" t="s">
        <v>175</v>
      </c>
      <c r="AN11" s="464" t="s">
        <v>1099</v>
      </c>
      <c r="AO11" s="382" t="s">
        <v>1100</v>
      </c>
      <c r="AP11" s="382" t="s">
        <v>1102</v>
      </c>
      <c r="AQ11" s="382" t="s">
        <v>1100</v>
      </c>
      <c r="AR11" s="382" t="s">
        <v>1102</v>
      </c>
      <c r="AS11" s="382" t="s">
        <v>1102</v>
      </c>
      <c r="AT11" s="382" t="s">
        <v>1101</v>
      </c>
      <c r="AU11" s="382" t="s">
        <v>1101</v>
      </c>
      <c r="AV11" s="382" t="s">
        <v>1101</v>
      </c>
      <c r="AW11" s="464" t="s">
        <v>1095</v>
      </c>
      <c r="AX11" s="464" t="s">
        <v>1095</v>
      </c>
      <c r="AY11" s="464" t="s">
        <v>1095</v>
      </c>
      <c r="AZ11" s="464" t="s">
        <v>1095</v>
      </c>
      <c r="BJ11" s="142" t="s">
        <v>1090</v>
      </c>
    </row>
    <row r="12" spans="1:64" ht="43.5" thickBot="1" x14ac:dyDescent="0.25">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1092</v>
      </c>
      <c r="AA12" s="449" t="s">
        <v>1092</v>
      </c>
      <c r="AB12" s="449" t="s">
        <v>1092</v>
      </c>
      <c r="AC12" s="449" t="s">
        <v>1092</v>
      </c>
      <c r="AD12" s="449" t="s">
        <v>1092</v>
      </c>
      <c r="AE12" s="450" t="s">
        <v>1092</v>
      </c>
      <c r="AF12" s="451" t="s">
        <v>216</v>
      </c>
      <c r="AG12" s="452" t="s">
        <v>216</v>
      </c>
      <c r="AH12" s="455" t="s">
        <v>1098</v>
      </c>
      <c r="AM12" s="151" t="s">
        <v>176</v>
      </c>
      <c r="AN12" s="464" t="s">
        <v>1103</v>
      </c>
      <c r="AO12" s="464" t="s">
        <v>1104</v>
      </c>
      <c r="AP12" s="464" t="s">
        <v>1104</v>
      </c>
      <c r="AQ12" s="464" t="s">
        <v>1104</v>
      </c>
      <c r="AR12" s="464" t="s">
        <v>1105</v>
      </c>
      <c r="AS12" s="464" t="s">
        <v>1105</v>
      </c>
      <c r="AT12" s="464" t="s">
        <v>1105</v>
      </c>
      <c r="AU12" s="382" t="s">
        <v>1102</v>
      </c>
      <c r="AV12" s="382" t="s">
        <v>1102</v>
      </c>
      <c r="AW12" s="382" t="s">
        <v>1106</v>
      </c>
      <c r="AX12" s="382" t="s">
        <v>1102</v>
      </c>
      <c r="AY12" s="382" t="s">
        <v>1102</v>
      </c>
      <c r="AZ12" s="464" t="s">
        <v>1095</v>
      </c>
      <c r="BJ12" s="142" t="s">
        <v>1090</v>
      </c>
    </row>
    <row r="13" spans="1:64" ht="43.5" thickBot="1" x14ac:dyDescent="0.25">
      <c r="B13" s="481" t="s">
        <v>177</v>
      </c>
      <c r="C13" s="398" t="s">
        <v>216</v>
      </c>
      <c r="D13" s="452">
        <v>2</v>
      </c>
      <c r="E13" s="451">
        <v>5</v>
      </c>
      <c r="F13" s="404"/>
      <c r="G13" s="404">
        <v>20</v>
      </c>
      <c r="H13" s="404"/>
      <c r="I13" s="452" t="s">
        <v>1052</v>
      </c>
      <c r="J13" s="451"/>
      <c r="K13" s="404">
        <v>20</v>
      </c>
      <c r="L13" s="404"/>
      <c r="M13" s="404">
        <v>30</v>
      </c>
      <c r="N13" s="404"/>
      <c r="O13" s="404"/>
      <c r="P13" s="404"/>
      <c r="Q13" s="452">
        <v>10</v>
      </c>
      <c r="R13" s="454"/>
      <c r="S13" s="451">
        <v>12</v>
      </c>
      <c r="T13" s="404">
        <v>12</v>
      </c>
      <c r="U13" s="449" t="s">
        <v>1092</v>
      </c>
      <c r="V13" s="404">
        <v>12</v>
      </c>
      <c r="W13" s="449" t="s">
        <v>1092</v>
      </c>
      <c r="X13" s="449" t="s">
        <v>1092</v>
      </c>
      <c r="Y13" s="404">
        <v>12</v>
      </c>
      <c r="Z13" s="449" t="s">
        <v>1092</v>
      </c>
      <c r="AA13" s="449" t="s">
        <v>1092</v>
      </c>
      <c r="AB13" s="449" t="s">
        <v>1092</v>
      </c>
      <c r="AC13" s="449" t="s">
        <v>1092</v>
      </c>
      <c r="AD13" s="449" t="s">
        <v>1092</v>
      </c>
      <c r="AE13" s="450" t="s">
        <v>1092</v>
      </c>
      <c r="AF13" s="451" t="s">
        <v>216</v>
      </c>
      <c r="AG13" s="452" t="s">
        <v>216</v>
      </c>
      <c r="AH13" s="455" t="s">
        <v>1098</v>
      </c>
      <c r="AM13" s="151" t="s">
        <v>177</v>
      </c>
      <c r="AN13" s="464" t="s">
        <v>1103</v>
      </c>
      <c r="AO13" s="464" t="s">
        <v>1104</v>
      </c>
      <c r="AP13" s="382" t="s">
        <v>1102</v>
      </c>
      <c r="AQ13" s="464" t="s">
        <v>1104</v>
      </c>
      <c r="AR13" s="382" t="s">
        <v>1102</v>
      </c>
      <c r="AS13" s="382" t="s">
        <v>1102</v>
      </c>
      <c r="AT13" s="464" t="s">
        <v>1105</v>
      </c>
      <c r="AU13" s="382" t="s">
        <v>1102</v>
      </c>
      <c r="AV13" s="382" t="s">
        <v>1102</v>
      </c>
      <c r="AW13" s="382" t="s">
        <v>1102</v>
      </c>
      <c r="AX13" s="382" t="s">
        <v>1106</v>
      </c>
      <c r="AY13" s="382" t="s">
        <v>1106</v>
      </c>
      <c r="AZ13" s="464" t="s">
        <v>1095</v>
      </c>
      <c r="BJ13" s="142" t="s">
        <v>1090</v>
      </c>
    </row>
    <row r="14" spans="1:64" ht="43.5" thickBot="1" x14ac:dyDescent="0.25">
      <c r="B14" s="481" t="s">
        <v>1086</v>
      </c>
      <c r="C14" s="398" t="s">
        <v>216</v>
      </c>
      <c r="D14" s="452">
        <v>2</v>
      </c>
      <c r="E14" s="451">
        <v>5</v>
      </c>
      <c r="F14" s="404"/>
      <c r="G14" s="404">
        <v>20</v>
      </c>
      <c r="H14" s="404"/>
      <c r="I14" s="452" t="s">
        <v>1052</v>
      </c>
      <c r="J14" s="451"/>
      <c r="K14" s="404">
        <v>20</v>
      </c>
      <c r="L14" s="404"/>
      <c r="M14" s="404">
        <v>30</v>
      </c>
      <c r="N14" s="404"/>
      <c r="O14" s="404"/>
      <c r="P14" s="404"/>
      <c r="Q14" s="452">
        <v>10</v>
      </c>
      <c r="R14" s="454"/>
      <c r="S14" s="451">
        <v>12</v>
      </c>
      <c r="T14" s="404">
        <v>12</v>
      </c>
      <c r="U14" s="449" t="s">
        <v>1092</v>
      </c>
      <c r="V14" s="404">
        <v>12</v>
      </c>
      <c r="W14" s="449" t="s">
        <v>1092</v>
      </c>
      <c r="X14" s="449" t="s">
        <v>1092</v>
      </c>
      <c r="Y14" s="404">
        <v>12</v>
      </c>
      <c r="Z14" s="449" t="s">
        <v>1092</v>
      </c>
      <c r="AA14" s="449" t="s">
        <v>1092</v>
      </c>
      <c r="AB14" s="449" t="s">
        <v>1092</v>
      </c>
      <c r="AC14" s="449" t="s">
        <v>1092</v>
      </c>
      <c r="AD14" s="449" t="s">
        <v>1092</v>
      </c>
      <c r="AE14" s="450" t="s">
        <v>1092</v>
      </c>
      <c r="AF14" s="451" t="s">
        <v>216</v>
      </c>
      <c r="AG14" s="452" t="s">
        <v>216</v>
      </c>
      <c r="AH14" s="455" t="s">
        <v>1098</v>
      </c>
      <c r="AM14" s="151" t="s">
        <v>1086</v>
      </c>
      <c r="AN14" s="464" t="s">
        <v>1103</v>
      </c>
      <c r="AO14" s="464" t="s">
        <v>1104</v>
      </c>
      <c r="AP14" s="382" t="s">
        <v>1102</v>
      </c>
      <c r="AQ14" s="464" t="s">
        <v>1104</v>
      </c>
      <c r="AR14" s="382" t="s">
        <v>1102</v>
      </c>
      <c r="AS14" s="382" t="s">
        <v>1102</v>
      </c>
      <c r="AT14" s="464" t="s">
        <v>1105</v>
      </c>
      <c r="AU14" s="382" t="s">
        <v>1102</v>
      </c>
      <c r="AV14" s="382" t="s">
        <v>1102</v>
      </c>
      <c r="AW14" s="382" t="s">
        <v>1102</v>
      </c>
      <c r="AX14" s="382" t="s">
        <v>1106</v>
      </c>
      <c r="AY14" s="382" t="s">
        <v>1106</v>
      </c>
      <c r="AZ14" s="464" t="s">
        <v>1095</v>
      </c>
      <c r="BJ14" s="142" t="s">
        <v>1090</v>
      </c>
    </row>
    <row r="15" spans="1:64" ht="43.5" thickBot="1" x14ac:dyDescent="0.25">
      <c r="B15" s="482" t="s">
        <v>179</v>
      </c>
      <c r="C15" s="364" t="s">
        <v>487</v>
      </c>
      <c r="D15" s="442">
        <v>1</v>
      </c>
      <c r="E15" s="456">
        <v>1</v>
      </c>
      <c r="F15" s="388"/>
      <c r="G15" s="388" t="s">
        <v>1040</v>
      </c>
      <c r="H15" s="388"/>
      <c r="I15" s="442" t="s">
        <v>1040</v>
      </c>
      <c r="J15" s="456"/>
      <c r="K15" s="388" t="s">
        <v>1040</v>
      </c>
      <c r="L15" s="388"/>
      <c r="M15" s="388" t="s">
        <v>1040</v>
      </c>
      <c r="N15" s="388"/>
      <c r="O15" s="388"/>
      <c r="P15" s="388"/>
      <c r="Q15" s="442" t="s">
        <v>1040</v>
      </c>
      <c r="R15" s="457"/>
      <c r="S15" s="458" t="s">
        <v>1092</v>
      </c>
      <c r="T15" s="459" t="s">
        <v>1092</v>
      </c>
      <c r="U15" s="459" t="s">
        <v>1092</v>
      </c>
      <c r="V15" s="459" t="s">
        <v>1092</v>
      </c>
      <c r="W15" s="459" t="s">
        <v>1092</v>
      </c>
      <c r="X15" s="459" t="s">
        <v>1092</v>
      </c>
      <c r="Y15" s="459" t="s">
        <v>1092</v>
      </c>
      <c r="Z15" s="459" t="s">
        <v>1092</v>
      </c>
      <c r="AA15" s="459" t="s">
        <v>1092</v>
      </c>
      <c r="AB15" s="459" t="s">
        <v>1092</v>
      </c>
      <c r="AC15" s="459" t="s">
        <v>1092</v>
      </c>
      <c r="AD15" s="459" t="s">
        <v>1092</v>
      </c>
      <c r="AE15" s="460" t="s">
        <v>1092</v>
      </c>
      <c r="AF15" s="456" t="s">
        <v>216</v>
      </c>
      <c r="AG15" s="442" t="s">
        <v>216</v>
      </c>
      <c r="AH15" s="426" t="s">
        <v>1098</v>
      </c>
      <c r="AM15" s="151" t="s">
        <v>179</v>
      </c>
      <c r="AN15" s="382" t="s">
        <v>1102</v>
      </c>
      <c r="AO15" s="382" t="s">
        <v>1102</v>
      </c>
      <c r="AP15" s="382" t="s">
        <v>1102</v>
      </c>
      <c r="AQ15" s="382" t="s">
        <v>1102</v>
      </c>
      <c r="AR15" s="382" t="s">
        <v>1102</v>
      </c>
      <c r="AS15" s="382" t="s">
        <v>1102</v>
      </c>
      <c r="AT15" s="382" t="s">
        <v>1102</v>
      </c>
      <c r="AU15" s="382" t="s">
        <v>1102</v>
      </c>
      <c r="AV15" s="382" t="s">
        <v>1102</v>
      </c>
      <c r="AW15" s="382" t="s">
        <v>1102</v>
      </c>
      <c r="AX15" s="382" t="s">
        <v>1102</v>
      </c>
      <c r="AY15" s="382" t="s">
        <v>1102</v>
      </c>
      <c r="AZ15" s="382" t="s">
        <v>1107</v>
      </c>
      <c r="BJ15" s="142" t="s">
        <v>1091</v>
      </c>
    </row>
    <row r="16" spans="1:64" x14ac:dyDescent="0.2">
      <c r="Q16" s="34"/>
    </row>
    <row r="17" spans="17:17" x14ac:dyDescent="0.2">
      <c r="Q17" s="30"/>
    </row>
    <row r="18" spans="17:17" x14ac:dyDescent="0.2">
      <c r="Q18" s="30"/>
    </row>
    <row r="19" spans="17:17" x14ac:dyDescent="0.2">
      <c r="Q19" s="30"/>
    </row>
    <row r="20" spans="17:17" ht="184.5" hidden="1" customHeight="1" x14ac:dyDescent="0.2"/>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4.25" zeroHeight="1" outlineLevelCol="1" x14ac:dyDescent="0.2"/>
  <cols>
    <col min="1" max="1" width="9.140625" style="30" customWidth="1"/>
    <col min="2" max="2" width="37.28515625" style="30" customWidth="1"/>
    <col min="3" max="4" width="17.7109375" style="30" customWidth="1"/>
    <col min="5" max="5" width="14.5703125" style="30" customWidth="1"/>
    <col min="6" max="6" width="15.7109375" style="30" customWidth="1"/>
    <col min="7" max="7" width="13.140625" style="30" customWidth="1"/>
    <col min="8" max="9" width="11.85546875" style="30" customWidth="1"/>
    <col min="10" max="10" width="13" style="30" customWidth="1"/>
    <col min="11" max="11" width="12.140625" style="30" customWidth="1"/>
    <col min="12" max="13" width="10.7109375" style="30" customWidth="1"/>
    <col min="14" max="14" width="14.140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0" width="15.85546875" style="30" customWidth="1"/>
    <col min="21" max="22" width="15.7109375" style="30" customWidth="1"/>
    <col min="23" max="26" width="10.7109375" style="30" customWidth="1"/>
    <col min="27" max="27" width="18.85546875" style="30" bestFit="1" customWidth="1"/>
    <col min="28" max="28" width="13.42578125" style="30" customWidth="1"/>
    <col min="29" max="29" width="9.140625" style="30" customWidth="1"/>
    <col min="30" max="30" width="18" style="30" customWidth="1"/>
    <col min="31" max="31" width="12.42578125" style="30" customWidth="1"/>
    <col min="32" max="32" width="9.140625" style="30" customWidth="1"/>
    <col min="33" max="33" width="59.85546875" style="30" customWidth="1"/>
    <col min="34" max="34" width="24.7109375" style="30" customWidth="1"/>
    <col min="35" max="35" width="18.85546875" style="30" customWidth="1"/>
    <col min="36" max="36" width="9.140625" style="30" customWidth="1"/>
    <col min="37" max="37" width="46.7109375" style="30" bestFit="1" customWidth="1"/>
    <col min="38" max="38" width="24.28515625" style="30" customWidth="1"/>
    <col min="39" max="39" width="13.7109375" style="30" customWidth="1"/>
    <col min="40" max="40" width="9.140625" style="30" customWidth="1"/>
    <col min="41" max="41" width="28.28515625" style="30" customWidth="1"/>
    <col min="42" max="42" width="13" style="30" customWidth="1"/>
    <col min="43" max="44" width="9.140625" style="30" customWidth="1"/>
    <col min="45" max="45" width="25.140625" style="30" bestFit="1" customWidth="1"/>
    <col min="46" max="46" width="20.42578125" style="30" bestFit="1" customWidth="1"/>
    <col min="47" max="47" width="31.28515625" style="30" customWidth="1"/>
    <col min="48" max="48" width="9.140625" style="30" customWidth="1"/>
    <col min="49" max="49" width="13" style="30" hidden="1" customWidth="1" outlineLevel="1"/>
    <col min="50" max="50" width="9.140625" style="30" hidden="1" customWidth="1" outlineLevel="1"/>
    <col min="51" max="51" width="23.7109375" style="30" hidden="1" customWidth="1" outlineLevel="1"/>
    <col min="52" max="52" width="31.140625" style="30" hidden="1" customWidth="1" outlineLevel="1"/>
    <col min="53" max="53" width="9.140625" style="30" hidden="1" customWidth="1" outlineLevel="1"/>
    <col min="54" max="54" width="17.85546875" style="30" hidden="1" customWidth="1" outlineLevel="1"/>
    <col min="55" max="55" width="15.140625" style="30" hidden="1" customWidth="1" outlineLevel="1"/>
    <col min="56" max="102" width="9.140625" style="30" hidden="1" customWidth="1" outlineLevel="1"/>
    <col min="103" max="103" width="9.140625" style="30" hidden="1" customWidth="1" outlineLevel="1" collapsed="1"/>
    <col min="104" max="104" width="17.85546875" style="30" hidden="1" customWidth="1" collapsed="1"/>
    <col min="105" max="149" width="17.85546875" style="30" hidden="1" customWidth="1"/>
    <col min="150" max="16384" width="9.140625" style="30" hidden="1"/>
  </cols>
  <sheetData>
    <row r="1" spans="1:55" ht="15" thickBot="1" x14ac:dyDescent="0.25">
      <c r="A1" s="1648"/>
      <c r="B1" s="1648"/>
    </row>
    <row r="2" spans="1:55" ht="31.5" customHeight="1" thickBot="1" x14ac:dyDescent="0.3">
      <c r="A2" s="1648"/>
      <c r="B2" s="1648"/>
      <c r="C2" s="1662" t="s">
        <v>270</v>
      </c>
      <c r="D2" s="1663"/>
      <c r="E2" s="1652" t="s">
        <v>380</v>
      </c>
      <c r="F2" s="1653"/>
      <c r="G2" s="1653"/>
      <c r="H2" s="1652" t="s">
        <v>358</v>
      </c>
      <c r="I2" s="1653"/>
      <c r="J2" s="1653"/>
      <c r="K2" s="1653"/>
      <c r="L2" s="1654"/>
      <c r="N2" s="1664" t="s">
        <v>1108</v>
      </c>
      <c r="O2" s="1665"/>
      <c r="Q2" s="1660" t="s">
        <v>1109</v>
      </c>
      <c r="R2" s="1661"/>
      <c r="T2" s="1529" t="s">
        <v>1110</v>
      </c>
      <c r="U2" s="1599"/>
      <c r="V2" s="1599"/>
      <c r="W2" s="1599"/>
      <c r="X2" s="1599"/>
      <c r="Y2" s="1670"/>
      <c r="AA2" s="1671" t="s">
        <v>1111</v>
      </c>
      <c r="AB2" s="1672"/>
      <c r="AC2" s="102"/>
      <c r="AD2" s="1671" t="s">
        <v>1111</v>
      </c>
      <c r="AE2" s="1672"/>
      <c r="AG2" s="1671" t="s">
        <v>1112</v>
      </c>
      <c r="AH2" s="1673"/>
      <c r="AI2" s="1672"/>
      <c r="AK2" s="1671" t="s">
        <v>1112</v>
      </c>
      <c r="AL2" s="1673"/>
      <c r="AM2" s="1672"/>
      <c r="AO2" s="1666" t="s">
        <v>1112</v>
      </c>
      <c r="AP2" s="1667"/>
      <c r="AQ2" s="235"/>
      <c r="AS2" s="1615" t="s">
        <v>1113</v>
      </c>
      <c r="AT2" s="1668"/>
      <c r="AU2" s="1669"/>
      <c r="AY2" s="236"/>
      <c r="AZ2" s="237" t="s">
        <v>281</v>
      </c>
      <c r="BB2" s="236" t="s">
        <v>1114</v>
      </c>
      <c r="BC2" s="237" t="s">
        <v>1115</v>
      </c>
    </row>
    <row r="3" spans="1:55" ht="57.75" thickBot="1" x14ac:dyDescent="0.25">
      <c r="B3" s="238" t="s">
        <v>936</v>
      </c>
      <c r="C3" s="214" t="s">
        <v>449</v>
      </c>
      <c r="D3" s="105" t="s">
        <v>450</v>
      </c>
      <c r="E3" s="483" t="s">
        <v>452</v>
      </c>
      <c r="F3" s="105" t="s">
        <v>453</v>
      </c>
      <c r="G3" s="485" t="s">
        <v>451</v>
      </c>
      <c r="H3" s="484" t="s">
        <v>68</v>
      </c>
      <c r="I3" s="239" t="s">
        <v>473</v>
      </c>
      <c r="J3" s="239" t="s">
        <v>67</v>
      </c>
      <c r="K3" s="239" t="s">
        <v>483</v>
      </c>
      <c r="L3" s="240" t="s">
        <v>329</v>
      </c>
      <c r="N3" s="486" t="s">
        <v>68</v>
      </c>
      <c r="O3" s="367">
        <v>10</v>
      </c>
      <c r="Q3" s="269" t="s">
        <v>1083</v>
      </c>
      <c r="R3" s="442">
        <v>10</v>
      </c>
      <c r="T3" s="214"/>
      <c r="U3" s="1529" t="s">
        <v>1116</v>
      </c>
      <c r="V3" s="1599"/>
      <c r="W3" s="1599"/>
      <c r="X3" s="1599"/>
      <c r="Y3" s="1670"/>
      <c r="AA3" s="214" t="s">
        <v>1117</v>
      </c>
      <c r="AB3" s="213" t="s">
        <v>1118</v>
      </c>
      <c r="AC3" s="102"/>
      <c r="AD3" s="214" t="s">
        <v>1119</v>
      </c>
      <c r="AE3" s="213" t="s">
        <v>1118</v>
      </c>
      <c r="AG3" s="213" t="s">
        <v>1120</v>
      </c>
      <c r="AH3" s="212" t="s">
        <v>121</v>
      </c>
      <c r="AI3" s="105" t="s">
        <v>1121</v>
      </c>
      <c r="AK3" s="104" t="s">
        <v>1120</v>
      </c>
      <c r="AL3" s="105" t="s">
        <v>121</v>
      </c>
      <c r="AM3" s="106" t="s">
        <v>1121</v>
      </c>
      <c r="AO3" s="659" t="s">
        <v>1120</v>
      </c>
      <c r="AP3" s="78" t="s">
        <v>1121</v>
      </c>
      <c r="AS3" s="236" t="s">
        <v>1122</v>
      </c>
      <c r="AT3" s="241" t="s">
        <v>1123</v>
      </c>
      <c r="AU3" s="237" t="s">
        <v>1082</v>
      </c>
      <c r="AY3" s="242" t="s">
        <v>1124</v>
      </c>
      <c r="AZ3" s="243" t="s">
        <v>1114</v>
      </c>
      <c r="BB3" s="112" t="s">
        <v>68</v>
      </c>
      <c r="BC3" s="113" t="s">
        <v>329</v>
      </c>
    </row>
    <row r="4" spans="1:55" ht="72" thickBot="1" x14ac:dyDescent="0.25">
      <c r="B4" s="68" t="s">
        <v>196</v>
      </c>
      <c r="C4" s="404" t="s">
        <v>468</v>
      </c>
      <c r="D4" s="382">
        <v>8</v>
      </c>
      <c r="E4" s="404" t="s">
        <v>213</v>
      </c>
      <c r="F4" s="404" t="s">
        <v>70</v>
      </c>
      <c r="G4" s="382" t="s">
        <v>212</v>
      </c>
      <c r="H4" s="404">
        <v>3</v>
      </c>
      <c r="I4" s="404">
        <v>2.5</v>
      </c>
      <c r="J4" s="404">
        <v>2</v>
      </c>
      <c r="K4" s="404">
        <v>1.5</v>
      </c>
      <c r="L4" s="382">
        <v>1</v>
      </c>
      <c r="M4" s="22"/>
      <c r="N4" s="100" t="s">
        <v>473</v>
      </c>
      <c r="O4" s="382">
        <v>8</v>
      </c>
      <c r="T4" s="134" t="s">
        <v>1125</v>
      </c>
      <c r="U4" s="487" t="s">
        <v>329</v>
      </c>
      <c r="V4" s="244" t="s">
        <v>483</v>
      </c>
      <c r="W4" s="244" t="s">
        <v>67</v>
      </c>
      <c r="X4" s="244" t="s">
        <v>473</v>
      </c>
      <c r="Y4" s="244" t="s">
        <v>68</v>
      </c>
      <c r="AA4" s="79" t="s">
        <v>1126</v>
      </c>
      <c r="AB4" s="404">
        <v>1</v>
      </c>
      <c r="AC4" s="102"/>
      <c r="AD4" s="265" t="s">
        <v>1127</v>
      </c>
      <c r="AE4" s="404">
        <v>0.75</v>
      </c>
      <c r="AG4" s="79" t="s">
        <v>1128</v>
      </c>
      <c r="AH4" s="382" t="s">
        <v>1038</v>
      </c>
      <c r="AI4" s="404">
        <v>1</v>
      </c>
      <c r="AK4" s="99" t="s">
        <v>1029</v>
      </c>
      <c r="AL4" s="382" t="s">
        <v>1030</v>
      </c>
      <c r="AM4" s="452">
        <v>1.1499999999999999</v>
      </c>
      <c r="AO4" s="265" t="s">
        <v>1042</v>
      </c>
      <c r="AP4" s="404">
        <v>1</v>
      </c>
      <c r="AS4" s="245" t="s">
        <v>468</v>
      </c>
      <c r="AT4" s="383">
        <v>8</v>
      </c>
      <c r="AU4" s="490" t="s">
        <v>1129</v>
      </c>
      <c r="AY4" s="67" t="s">
        <v>1130</v>
      </c>
      <c r="AZ4" s="243" t="s">
        <v>1114</v>
      </c>
      <c r="BB4" s="154" t="s">
        <v>473</v>
      </c>
      <c r="BC4" s="246"/>
    </row>
    <row r="5" spans="1:55" ht="42.75" x14ac:dyDescent="0.2">
      <c r="B5" s="68" t="s">
        <v>197</v>
      </c>
      <c r="C5" s="404" t="s">
        <v>213</v>
      </c>
      <c r="D5" s="382">
        <v>6</v>
      </c>
      <c r="E5" s="404" t="s">
        <v>213</v>
      </c>
      <c r="F5" s="404" t="s">
        <v>70</v>
      </c>
      <c r="G5" s="382" t="s">
        <v>240</v>
      </c>
      <c r="H5" s="404">
        <v>3</v>
      </c>
      <c r="I5" s="404">
        <v>2.5</v>
      </c>
      <c r="J5" s="404">
        <v>2</v>
      </c>
      <c r="K5" s="404">
        <v>1.5</v>
      </c>
      <c r="L5" s="382">
        <v>1</v>
      </c>
      <c r="M5" s="22"/>
      <c r="N5" s="100" t="s">
        <v>67</v>
      </c>
      <c r="O5" s="382">
        <v>5</v>
      </c>
      <c r="T5" s="100" t="s">
        <v>329</v>
      </c>
      <c r="U5" s="488">
        <v>1</v>
      </c>
      <c r="V5" s="437">
        <v>2</v>
      </c>
      <c r="W5" s="437">
        <v>4</v>
      </c>
      <c r="X5" s="437">
        <v>6</v>
      </c>
      <c r="Y5" s="437">
        <v>8</v>
      </c>
      <c r="AA5" s="79" t="s">
        <v>1131</v>
      </c>
      <c r="AB5" s="404">
        <v>0.8</v>
      </c>
      <c r="AC5" s="102"/>
      <c r="AD5" s="265" t="s">
        <v>1132</v>
      </c>
      <c r="AE5" s="404">
        <v>0.8</v>
      </c>
      <c r="AG5" s="79" t="s">
        <v>1133</v>
      </c>
      <c r="AH5" s="382" t="s">
        <v>1030</v>
      </c>
      <c r="AI5" s="404">
        <v>1.1499999999999999</v>
      </c>
      <c r="AK5" s="99" t="s">
        <v>1033</v>
      </c>
      <c r="AL5" s="382" t="s">
        <v>1034</v>
      </c>
      <c r="AM5" s="452">
        <v>1.1000000000000001</v>
      </c>
      <c r="AO5" s="100" t="s">
        <v>1134</v>
      </c>
      <c r="AP5" s="404">
        <v>1</v>
      </c>
      <c r="AS5" s="215" t="s">
        <v>213</v>
      </c>
      <c r="AT5" s="404">
        <v>6</v>
      </c>
      <c r="AU5" s="386" t="s">
        <v>1135</v>
      </c>
      <c r="AY5" s="67" t="s">
        <v>198</v>
      </c>
      <c r="AZ5" s="243" t="s">
        <v>1114</v>
      </c>
      <c r="BB5" s="154" t="s">
        <v>67</v>
      </c>
      <c r="BC5" s="246"/>
    </row>
    <row r="6" spans="1:55" ht="43.5" thickBot="1" x14ac:dyDescent="0.25">
      <c r="B6" s="68" t="s">
        <v>198</v>
      </c>
      <c r="C6" s="404" t="s">
        <v>70</v>
      </c>
      <c r="D6" s="404">
        <v>4</v>
      </c>
      <c r="E6" s="404" t="s">
        <v>216</v>
      </c>
      <c r="F6" s="404" t="s">
        <v>70</v>
      </c>
      <c r="G6" s="382" t="s">
        <v>240</v>
      </c>
      <c r="H6" s="404">
        <v>3</v>
      </c>
      <c r="I6" s="404">
        <v>2.5</v>
      </c>
      <c r="J6" s="404">
        <v>2</v>
      </c>
      <c r="K6" s="404">
        <v>1.5</v>
      </c>
      <c r="L6" s="382">
        <v>1</v>
      </c>
      <c r="M6" s="22"/>
      <c r="N6" s="100" t="s">
        <v>483</v>
      </c>
      <c r="O6" s="382">
        <v>2</v>
      </c>
      <c r="T6" s="100" t="s">
        <v>483</v>
      </c>
      <c r="U6" s="489" t="s">
        <v>1040</v>
      </c>
      <c r="V6" s="438">
        <v>1</v>
      </c>
      <c r="W6" s="438">
        <v>2</v>
      </c>
      <c r="X6" s="438">
        <v>4</v>
      </c>
      <c r="Y6" s="438">
        <v>6</v>
      </c>
      <c r="AA6" s="79" t="s">
        <v>1136</v>
      </c>
      <c r="AB6" s="404">
        <v>0.5</v>
      </c>
      <c r="AC6" s="102"/>
      <c r="AD6" s="265" t="s">
        <v>1137</v>
      </c>
      <c r="AE6" s="404">
        <v>0.84</v>
      </c>
      <c r="AG6" s="79" t="s">
        <v>1138</v>
      </c>
      <c r="AH6" s="382" t="s">
        <v>1030</v>
      </c>
      <c r="AI6" s="404">
        <v>1.1499999999999999</v>
      </c>
      <c r="AK6" s="74" t="s">
        <v>1037</v>
      </c>
      <c r="AL6" s="371" t="s">
        <v>1038</v>
      </c>
      <c r="AM6" s="442">
        <v>1</v>
      </c>
      <c r="AO6" s="100" t="s">
        <v>1139</v>
      </c>
      <c r="AP6" s="404">
        <v>0.75</v>
      </c>
      <c r="AS6" s="215" t="s">
        <v>70</v>
      </c>
      <c r="AT6" s="404">
        <v>4</v>
      </c>
      <c r="AU6" s="386" t="s">
        <v>1140</v>
      </c>
      <c r="AY6" s="67" t="s">
        <v>199</v>
      </c>
      <c r="AZ6" s="243" t="s">
        <v>1114</v>
      </c>
      <c r="BB6" s="154" t="s">
        <v>483</v>
      </c>
      <c r="BC6" s="246"/>
    </row>
    <row r="7" spans="1:55" ht="43.5" thickBot="1" x14ac:dyDescent="0.25">
      <c r="B7" s="68" t="s">
        <v>199</v>
      </c>
      <c r="C7" s="404" t="s">
        <v>70</v>
      </c>
      <c r="D7" s="404">
        <v>4</v>
      </c>
      <c r="E7" s="404" t="s">
        <v>216</v>
      </c>
      <c r="F7" s="404" t="s">
        <v>70</v>
      </c>
      <c r="G7" s="382" t="s">
        <v>240</v>
      </c>
      <c r="H7" s="404">
        <v>3</v>
      </c>
      <c r="I7" s="404">
        <v>2.5</v>
      </c>
      <c r="J7" s="404">
        <v>2</v>
      </c>
      <c r="K7" s="404">
        <v>1.5</v>
      </c>
      <c r="L7" s="382">
        <v>1</v>
      </c>
      <c r="M7" s="22"/>
      <c r="N7" s="100" t="s">
        <v>329</v>
      </c>
      <c r="O7" s="382">
        <v>1</v>
      </c>
      <c r="T7" s="100" t="s">
        <v>67</v>
      </c>
      <c r="U7" s="489" t="s">
        <v>1040</v>
      </c>
      <c r="V7" s="438" t="s">
        <v>1040</v>
      </c>
      <c r="W7" s="438">
        <v>1</v>
      </c>
      <c r="X7" s="438">
        <v>2</v>
      </c>
      <c r="Y7" s="438">
        <v>4</v>
      </c>
      <c r="AA7" s="79" t="s">
        <v>1141</v>
      </c>
      <c r="AB7" s="404">
        <v>1</v>
      </c>
      <c r="AC7" s="102"/>
      <c r="AD7" s="265" t="s">
        <v>1142</v>
      </c>
      <c r="AE7" s="404">
        <v>0.87</v>
      </c>
      <c r="AG7" s="79" t="s">
        <v>1143</v>
      </c>
      <c r="AH7" s="382" t="s">
        <v>1030</v>
      </c>
      <c r="AI7" s="404">
        <v>1.1499999999999999</v>
      </c>
      <c r="AK7" s="36"/>
      <c r="AL7" s="38"/>
      <c r="AM7" s="36"/>
      <c r="AO7" s="100" t="s">
        <v>1144</v>
      </c>
      <c r="AP7" s="404">
        <v>0.5</v>
      </c>
      <c r="AS7" s="211" t="s">
        <v>216</v>
      </c>
      <c r="AT7" s="388">
        <v>2</v>
      </c>
      <c r="AU7" s="442" t="s">
        <v>1145</v>
      </c>
      <c r="AY7" s="69" t="s">
        <v>200</v>
      </c>
      <c r="AZ7" s="243" t="s">
        <v>1115</v>
      </c>
      <c r="BB7" s="156" t="s">
        <v>329</v>
      </c>
      <c r="BC7" s="247"/>
    </row>
    <row r="8" spans="1:55" ht="57" x14ac:dyDescent="0.2">
      <c r="B8" s="85" t="s">
        <v>200</v>
      </c>
      <c r="C8" s="404" t="s">
        <v>216</v>
      </c>
      <c r="D8" s="404">
        <v>2</v>
      </c>
      <c r="E8" s="404" t="s">
        <v>216</v>
      </c>
      <c r="F8" s="404" t="s">
        <v>70</v>
      </c>
      <c r="G8" s="382" t="s">
        <v>248</v>
      </c>
      <c r="H8" s="404" t="s">
        <v>1051</v>
      </c>
      <c r="I8" s="404" t="s">
        <v>1051</v>
      </c>
      <c r="J8" s="404" t="s">
        <v>1051</v>
      </c>
      <c r="K8" s="404" t="s">
        <v>1051</v>
      </c>
      <c r="L8" s="382">
        <v>1</v>
      </c>
      <c r="M8" s="22"/>
      <c r="T8" s="100" t="s">
        <v>473</v>
      </c>
      <c r="U8" s="489" t="s">
        <v>1040</v>
      </c>
      <c r="V8" s="438" t="s">
        <v>1040</v>
      </c>
      <c r="W8" s="438" t="s">
        <v>1040</v>
      </c>
      <c r="X8" s="438">
        <v>1</v>
      </c>
      <c r="Y8" s="438">
        <v>2</v>
      </c>
      <c r="AC8" s="102"/>
      <c r="AD8" s="265" t="s">
        <v>1146</v>
      </c>
      <c r="AE8" s="404">
        <v>0.85</v>
      </c>
      <c r="AG8" s="79" t="s">
        <v>1147</v>
      </c>
      <c r="AH8" s="382" t="s">
        <v>1030</v>
      </c>
      <c r="AI8" s="404">
        <v>1.1499999999999999</v>
      </c>
      <c r="AK8" s="36"/>
      <c r="AL8" s="38"/>
      <c r="AM8" s="36"/>
    </row>
    <row r="9" spans="1:55" ht="28.5" x14ac:dyDescent="0.2">
      <c r="T9" s="100" t="s">
        <v>68</v>
      </c>
      <c r="U9" s="489" t="s">
        <v>1040</v>
      </c>
      <c r="V9" s="438" t="s">
        <v>1040</v>
      </c>
      <c r="W9" s="438" t="s">
        <v>1040</v>
      </c>
      <c r="X9" s="438" t="s">
        <v>1040</v>
      </c>
      <c r="Y9" s="438">
        <v>1</v>
      </c>
      <c r="AD9" s="265" t="s">
        <v>1148</v>
      </c>
      <c r="AE9" s="404">
        <v>0.9</v>
      </c>
      <c r="AG9" s="79" t="s">
        <v>1149</v>
      </c>
      <c r="AH9" s="382" t="s">
        <v>1030</v>
      </c>
      <c r="AI9" s="404">
        <v>1.1499999999999999</v>
      </c>
      <c r="AK9" s="36"/>
      <c r="AL9" s="38"/>
      <c r="AM9" s="36"/>
      <c r="AY9" s="35"/>
      <c r="AZ9" s="35"/>
      <c r="BA9" s="35"/>
      <c r="BB9" s="35"/>
      <c r="BC9" s="35"/>
    </row>
    <row r="10" spans="1:55" ht="28.5" x14ac:dyDescent="0.2">
      <c r="AD10" s="265" t="s">
        <v>1150</v>
      </c>
      <c r="AE10" s="404">
        <v>0.92</v>
      </c>
      <c r="AF10" s="102"/>
      <c r="AY10" s="35"/>
      <c r="AZ10" s="35"/>
      <c r="BA10" s="35"/>
      <c r="BB10" s="38"/>
      <c r="BC10" s="38"/>
    </row>
    <row r="11" spans="1:55" x14ac:dyDescent="0.2">
      <c r="AD11" s="265" t="s">
        <v>1151</v>
      </c>
      <c r="AE11" s="404">
        <v>0.95</v>
      </c>
      <c r="AF11" s="102"/>
      <c r="AY11" s="35"/>
      <c r="AZ11" s="35"/>
      <c r="BA11" s="35"/>
      <c r="BB11" s="38"/>
      <c r="BC11" s="35"/>
    </row>
    <row r="12" spans="1:55" ht="28.5" x14ac:dyDescent="0.2">
      <c r="B12" s="41"/>
      <c r="C12" s="66"/>
      <c r="D12" s="66"/>
      <c r="E12" s="66"/>
      <c r="F12" s="66"/>
      <c r="G12" s="39"/>
      <c r="AD12" s="265" t="s">
        <v>1152</v>
      </c>
      <c r="AE12" s="404">
        <v>0.98</v>
      </c>
      <c r="AF12" s="102"/>
      <c r="AY12" s="35"/>
      <c r="AZ12" s="35"/>
      <c r="BA12" s="35"/>
      <c r="BB12" s="38"/>
      <c r="BC12" s="35"/>
    </row>
    <row r="13" spans="1:55" ht="57" x14ac:dyDescent="0.2">
      <c r="B13" s="35"/>
      <c r="C13" s="36"/>
      <c r="D13" s="38"/>
      <c r="E13" s="36"/>
      <c r="F13" s="36"/>
      <c r="G13" s="38"/>
      <c r="AD13" s="265" t="s">
        <v>1153</v>
      </c>
      <c r="AE13" s="404">
        <v>1</v>
      </c>
      <c r="AF13" s="102"/>
      <c r="AG13" s="102"/>
      <c r="AH13" s="102"/>
      <c r="AY13" s="35"/>
      <c r="AZ13" s="35"/>
      <c r="BA13" s="35"/>
      <c r="BB13" s="38"/>
      <c r="BC13" s="35"/>
    </row>
    <row r="14" spans="1:55" x14ac:dyDescent="0.2">
      <c r="B14" s="35"/>
      <c r="C14" s="36"/>
      <c r="D14" s="38"/>
      <c r="E14" s="36"/>
      <c r="F14" s="36"/>
      <c r="G14" s="38"/>
      <c r="AD14" s="272" t="s">
        <v>1141</v>
      </c>
      <c r="AE14" s="404">
        <v>1</v>
      </c>
      <c r="AF14" s="102"/>
      <c r="AY14" s="35"/>
      <c r="AZ14" s="35"/>
      <c r="BA14" s="35"/>
      <c r="BB14" s="38"/>
      <c r="BC14" s="35"/>
    </row>
    <row r="15" spans="1:55" x14ac:dyDescent="0.2">
      <c r="B15" s="35"/>
      <c r="C15" s="36"/>
      <c r="D15" s="38"/>
      <c r="E15" s="36"/>
      <c r="F15" s="36"/>
      <c r="G15" s="38"/>
    </row>
    <row r="16" spans="1:55" x14ac:dyDescent="0.2">
      <c r="B16" s="35"/>
      <c r="C16" s="36"/>
      <c r="D16" s="38"/>
      <c r="E16" s="36"/>
      <c r="F16" s="36"/>
      <c r="G16" s="38"/>
    </row>
    <row r="17" spans="2:7" x14ac:dyDescent="0.2">
      <c r="B17" s="617"/>
      <c r="C17" s="36"/>
      <c r="D17" s="36"/>
      <c r="E17" s="36"/>
      <c r="F17" s="36"/>
      <c r="G17" s="38"/>
    </row>
    <row r="18" spans="2:7" x14ac:dyDescent="0.2"/>
    <row r="19" spans="2:7" x14ac:dyDescent="0.2"/>
    <row r="20" spans="2:7" x14ac:dyDescent="0.2"/>
    <row r="21" spans="2:7" x14ac:dyDescent="0.2"/>
    <row r="22" spans="2:7" x14ac:dyDescent="0.2"/>
    <row r="23" spans="2:7" x14ac:dyDescent="0.2"/>
    <row r="24" spans="2:7" x14ac:dyDescent="0.2"/>
    <row r="25" spans="2:7" x14ac:dyDescent="0.2"/>
    <row r="26" spans="2:7" x14ac:dyDescent="0.2"/>
    <row r="27" spans="2:7" x14ac:dyDescent="0.2"/>
    <row r="28" spans="2:7" x14ac:dyDescent="0.2"/>
    <row r="29" spans="2:7" x14ac:dyDescent="0.2"/>
    <row r="30" spans="2:7" x14ac:dyDescent="0.2"/>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x14ac:dyDescent="0.2"/>
  <cols>
    <col min="1" max="1" width="88.85546875" style="30" bestFit="1" customWidth="1"/>
    <col min="2" max="2" width="12.7109375" style="30" bestFit="1" customWidth="1"/>
    <col min="3" max="3" width="17.140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85546875" style="30" hidden="1" customWidth="1"/>
    <col min="11" max="11" width="19.42578125" style="30" hidden="1" customWidth="1"/>
    <col min="12" max="12" width="21.28515625" style="30" hidden="1" customWidth="1"/>
    <col min="13" max="13" width="31.28515625" style="30" hidden="1" customWidth="1"/>
    <col min="14" max="14" width="40.140625" style="30" hidden="1" customWidth="1"/>
    <col min="15" max="15" width="15.140625" style="30" customWidth="1"/>
    <col min="16" max="17" width="9.140625" style="30" customWidth="1"/>
    <col min="18" max="16384" width="9.140625" style="30" hidden="1"/>
  </cols>
  <sheetData>
    <row r="1" spans="1:14" ht="28.9" customHeight="1" x14ac:dyDescent="0.4">
      <c r="A1" s="1676"/>
      <c r="B1" s="227"/>
      <c r="C1" s="227"/>
      <c r="D1" s="227"/>
      <c r="E1" s="227"/>
      <c r="F1" s="227"/>
      <c r="G1" s="227"/>
      <c r="H1" s="249"/>
    </row>
    <row r="2" spans="1:14" ht="29.45" customHeight="1" x14ac:dyDescent="0.4">
      <c r="A2" s="1677"/>
      <c r="B2" s="1674" t="s">
        <v>358</v>
      </c>
      <c r="C2" s="1674"/>
      <c r="D2" s="1674"/>
      <c r="E2" s="1674"/>
      <c r="F2" s="1674"/>
      <c r="G2" s="1674"/>
      <c r="H2" s="1675"/>
    </row>
    <row r="3" spans="1:14" ht="28.5" x14ac:dyDescent="0.3">
      <c r="A3" s="229" t="s">
        <v>936</v>
      </c>
      <c r="B3" s="79" t="s">
        <v>68</v>
      </c>
      <c r="C3" s="79" t="s">
        <v>473</v>
      </c>
      <c r="D3" s="79" t="s">
        <v>67</v>
      </c>
      <c r="E3" s="79" t="s">
        <v>483</v>
      </c>
      <c r="F3" s="100" t="s">
        <v>329</v>
      </c>
      <c r="G3" s="100" t="s">
        <v>493</v>
      </c>
      <c r="H3" s="79" t="s">
        <v>497</v>
      </c>
      <c r="I3" s="30" t="s">
        <v>281</v>
      </c>
      <c r="J3" s="1678" t="s">
        <v>1154</v>
      </c>
      <c r="K3" s="1679"/>
      <c r="L3" s="1679"/>
      <c r="M3" s="1680"/>
    </row>
    <row r="4" spans="1:14" ht="14.25" x14ac:dyDescent="0.2">
      <c r="A4" s="68" t="str">
        <f>'G-1 All Habitats'!B3</f>
        <v>Cropland - Arable field margins cultivated annually</v>
      </c>
      <c r="B4" s="404" t="s">
        <v>1051</v>
      </c>
      <c r="C4" s="404" t="s">
        <v>1051</v>
      </c>
      <c r="D4" s="404" t="s">
        <v>1051</v>
      </c>
      <c r="E4" s="404" t="s">
        <v>1051</v>
      </c>
      <c r="F4" s="404" t="s">
        <v>1051</v>
      </c>
      <c r="G4" s="404">
        <v>1</v>
      </c>
      <c r="H4" s="404" t="s">
        <v>1051</v>
      </c>
      <c r="I4" s="30" t="str">
        <f>IF(G4=1,"Cond1",IF(H4=0,"Cond2",IF(AND(B4=3,C4=2.5,D4=2,E4=1.5,F4=1),"Cond4",IF(F4=1,"Cond3","Check"))))</f>
        <v>Cond1</v>
      </c>
      <c r="J4" s="248" t="s">
        <v>1155</v>
      </c>
      <c r="K4" s="248" t="s">
        <v>1156</v>
      </c>
      <c r="L4" s="248" t="s">
        <v>1157</v>
      </c>
      <c r="M4" s="248" t="s">
        <v>1158</v>
      </c>
      <c r="N4" s="30" t="s">
        <v>1159</v>
      </c>
    </row>
    <row r="5" spans="1:14" ht="14.25" x14ac:dyDescent="0.2">
      <c r="A5" s="68" t="str">
        <f>'G-1 All Habitats'!B4</f>
        <v>Cropland - Arable field margins game bird mix</v>
      </c>
      <c r="B5" s="404" t="s">
        <v>1051</v>
      </c>
      <c r="C5" s="404" t="s">
        <v>1051</v>
      </c>
      <c r="D5" s="404" t="s">
        <v>1051</v>
      </c>
      <c r="E5" s="404" t="s">
        <v>1051</v>
      </c>
      <c r="F5" s="404" t="s">
        <v>1051</v>
      </c>
      <c r="G5" s="404">
        <v>1</v>
      </c>
      <c r="H5" s="404" t="s">
        <v>1051</v>
      </c>
      <c r="I5" s="30" t="str">
        <f>IF(G5=1,"Cond1",IF(H5=0,"Cond2",IF(AND(B5=3,C5=2.5,D5=2,E5=1.5,F5=1),"Cond4",IF(F5=1,"Cond3","Check"))))</f>
        <v>Cond1</v>
      </c>
      <c r="J5" s="177" t="s">
        <v>493</v>
      </c>
      <c r="K5" s="177" t="s">
        <v>497</v>
      </c>
      <c r="L5" s="224" t="s">
        <v>329</v>
      </c>
      <c r="M5" s="177" t="s">
        <v>68</v>
      </c>
      <c r="N5" s="30" t="s">
        <v>68</v>
      </c>
    </row>
    <row r="6" spans="1:14" ht="14.25" x14ac:dyDescent="0.2">
      <c r="A6" s="68" t="str">
        <f>'G-1 All Habitats'!B5</f>
        <v>Cropland - Arable field margins pollen and nectar</v>
      </c>
      <c r="B6" s="404" t="s">
        <v>1051</v>
      </c>
      <c r="C6" s="404" t="s">
        <v>1051</v>
      </c>
      <c r="D6" s="404" t="s">
        <v>1051</v>
      </c>
      <c r="E6" s="404" t="s">
        <v>1051</v>
      </c>
      <c r="F6" s="404" t="s">
        <v>1051</v>
      </c>
      <c r="G6" s="404">
        <v>1</v>
      </c>
      <c r="H6" s="404" t="s">
        <v>1051</v>
      </c>
      <c r="I6" s="30" t="str">
        <f>IF(G6=1,"Cond1",IF(H6=0,"Cond2",IF(AND(B6=3,C6=2.5,D6=2,E6=1.5,F6=1),"Cond4",IF(F6=1,"Cond3","Check"))))</f>
        <v>Cond1</v>
      </c>
      <c r="M6" s="177" t="s">
        <v>473</v>
      </c>
    </row>
    <row r="7" spans="1:14" ht="14.25" x14ac:dyDescent="0.2">
      <c r="A7" s="68" t="str">
        <f>'G-1 All Habitats'!B6</f>
        <v>Cropland - Arable field margins tussocky</v>
      </c>
      <c r="B7" s="404" t="s">
        <v>1051</v>
      </c>
      <c r="C7" s="404" t="s">
        <v>1051</v>
      </c>
      <c r="D7" s="404" t="s">
        <v>1051</v>
      </c>
      <c r="E7" s="404" t="s">
        <v>1051</v>
      </c>
      <c r="F7" s="404" t="s">
        <v>1051</v>
      </c>
      <c r="G7" s="404">
        <v>1</v>
      </c>
      <c r="H7" s="404" t="s">
        <v>1051</v>
      </c>
      <c r="I7" s="30" t="str">
        <f>IF(G7=1,"Cond1",IF(H7=0,"Cond2",IF(AND(B7=3,C7=2.5,D7=2,E7=1.5,F7=1),"Cond4",IF(F7=1,"Cond3","Check"))))</f>
        <v>Cond1</v>
      </c>
      <c r="M7" s="177" t="s">
        <v>67</v>
      </c>
    </row>
    <row r="8" spans="1:14" ht="14.25" x14ac:dyDescent="0.2">
      <c r="A8" s="68" t="str">
        <f>'G-1 All Habitats'!B7</f>
        <v>Cropland - Cereal crops</v>
      </c>
      <c r="B8" s="404" t="s">
        <v>1051</v>
      </c>
      <c r="C8" s="404" t="s">
        <v>1051</v>
      </c>
      <c r="D8" s="404" t="s">
        <v>1051</v>
      </c>
      <c r="E8" s="404" t="s">
        <v>1051</v>
      </c>
      <c r="F8" s="404" t="s">
        <v>1051</v>
      </c>
      <c r="G8" s="404">
        <v>1</v>
      </c>
      <c r="H8" s="404" t="s">
        <v>1051</v>
      </c>
      <c r="I8" s="30" t="str">
        <f>IF(G8=1,"Cond1",IF(H8=0,"Cond2",IF(AND(B8=3,C8=2.5,D8=2,E8=1.5,F8=1),"Cond4",IF(F8=1,"Cond3","Check"))))</f>
        <v>Cond1</v>
      </c>
      <c r="M8" s="177" t="s">
        <v>483</v>
      </c>
    </row>
    <row r="9" spans="1:14" ht="14.25" x14ac:dyDescent="0.2">
      <c r="A9" s="68" t="str">
        <f>'G-1 All Habitats'!B8</f>
        <v>Cropland - Winter stubble</v>
      </c>
      <c r="B9" s="404" t="s">
        <v>1051</v>
      </c>
      <c r="C9" s="404" t="s">
        <v>1051</v>
      </c>
      <c r="D9" s="404" t="s">
        <v>1051</v>
      </c>
      <c r="E9" s="404" t="s">
        <v>1051</v>
      </c>
      <c r="F9" s="404" t="s">
        <v>1051</v>
      </c>
      <c r="G9" s="404">
        <v>1</v>
      </c>
      <c r="H9" s="404" t="s">
        <v>1051</v>
      </c>
      <c r="I9" s="30" t="str">
        <f t="shared" ref="I9:I41" si="0">IF(G9=1,"Cond1",IF(H9=0,"Cond2",IF(AND(B9=3,C9=2.5,D9=2,E9=1.5,F9=1),"Cond4",IF(F9=1,"Cond3","Check"))))</f>
        <v>Cond1</v>
      </c>
      <c r="M9" s="224" t="s">
        <v>329</v>
      </c>
    </row>
    <row r="10" spans="1:14" ht="14.25" x14ac:dyDescent="0.2">
      <c r="A10" s="68" t="str">
        <f>'G-1 All Habitats'!B9</f>
        <v>Cropland - Horticulture</v>
      </c>
      <c r="B10" s="404" t="s">
        <v>1051</v>
      </c>
      <c r="C10" s="404" t="s">
        <v>1051</v>
      </c>
      <c r="D10" s="404" t="s">
        <v>1051</v>
      </c>
      <c r="E10" s="404" t="s">
        <v>1051</v>
      </c>
      <c r="F10" s="404" t="s">
        <v>1051</v>
      </c>
      <c r="G10" s="404">
        <v>1</v>
      </c>
      <c r="H10" s="404" t="s">
        <v>1051</v>
      </c>
      <c r="I10" s="30" t="str">
        <f t="shared" si="0"/>
        <v>Cond1</v>
      </c>
    </row>
    <row r="11" spans="1:14" ht="14.25" x14ac:dyDescent="0.2">
      <c r="A11" s="68" t="str">
        <f>'G-1 All Habitats'!B10</f>
        <v>Cropland - Intensive orchards</v>
      </c>
      <c r="B11" s="404" t="s">
        <v>1051</v>
      </c>
      <c r="C11" s="404" t="s">
        <v>1051</v>
      </c>
      <c r="D11" s="404" t="s">
        <v>1051</v>
      </c>
      <c r="E11" s="404" t="s">
        <v>1051</v>
      </c>
      <c r="F11" s="404" t="s">
        <v>1051</v>
      </c>
      <c r="G11" s="404">
        <v>1</v>
      </c>
      <c r="H11" s="404" t="s">
        <v>1051</v>
      </c>
      <c r="I11" s="30" t="str">
        <f t="shared" si="0"/>
        <v>Cond1</v>
      </c>
    </row>
    <row r="12" spans="1:14" ht="14.25" x14ac:dyDescent="0.2">
      <c r="A12" s="68" t="str">
        <f>'G-1 All Habitats'!B11</f>
        <v>Cropland - Non-cereal crops</v>
      </c>
      <c r="B12" s="404" t="s">
        <v>1051</v>
      </c>
      <c r="C12" s="404" t="s">
        <v>1051</v>
      </c>
      <c r="D12" s="404" t="s">
        <v>1051</v>
      </c>
      <c r="E12" s="404" t="s">
        <v>1051</v>
      </c>
      <c r="F12" s="404" t="s">
        <v>1051</v>
      </c>
      <c r="G12" s="404">
        <v>1</v>
      </c>
      <c r="H12" s="404" t="s">
        <v>1051</v>
      </c>
      <c r="I12" s="30" t="str">
        <f t="shared" si="0"/>
        <v>Cond1</v>
      </c>
    </row>
    <row r="13" spans="1:14" ht="14.25" x14ac:dyDescent="0.2">
      <c r="A13" s="68" t="str">
        <f>'G-1 All Habitats'!B12</f>
        <v>Cropland - Temporary grass and clover leys</v>
      </c>
      <c r="B13" s="404" t="s">
        <v>1051</v>
      </c>
      <c r="C13" s="404" t="s">
        <v>1051</v>
      </c>
      <c r="D13" s="404" t="s">
        <v>1051</v>
      </c>
      <c r="E13" s="404" t="s">
        <v>1051</v>
      </c>
      <c r="F13" s="404" t="s">
        <v>1051</v>
      </c>
      <c r="G13" s="404">
        <v>1</v>
      </c>
      <c r="H13" s="404" t="s">
        <v>1051</v>
      </c>
      <c r="I13" s="30" t="str">
        <f t="shared" si="0"/>
        <v>Cond1</v>
      </c>
    </row>
    <row r="14" spans="1:14" ht="14.25" x14ac:dyDescent="0.2">
      <c r="A14" s="68" t="str">
        <f>'G-1 All Habitats'!B13</f>
        <v>Grassland - Traditional orchards</v>
      </c>
      <c r="B14" s="404">
        <v>3</v>
      </c>
      <c r="C14" s="404">
        <v>2.5</v>
      </c>
      <c r="D14" s="404">
        <v>2</v>
      </c>
      <c r="E14" s="404">
        <v>1.5</v>
      </c>
      <c r="F14" s="404">
        <v>1</v>
      </c>
      <c r="G14" s="404" t="s">
        <v>1051</v>
      </c>
      <c r="H14" s="404" t="s">
        <v>1051</v>
      </c>
      <c r="I14" s="30" t="str">
        <f t="shared" si="0"/>
        <v>Cond4</v>
      </c>
    </row>
    <row r="15" spans="1:14" ht="14.25" x14ac:dyDescent="0.2">
      <c r="A15" s="68" t="str">
        <f>'G-1 All Habitats'!B14</f>
        <v>Grassland - Bracken</v>
      </c>
      <c r="B15" s="404" t="s">
        <v>1051</v>
      </c>
      <c r="C15" s="404" t="s">
        <v>1051</v>
      </c>
      <c r="D15" s="404" t="s">
        <v>1051</v>
      </c>
      <c r="E15" s="404" t="s">
        <v>1051</v>
      </c>
      <c r="F15" s="404" t="s">
        <v>1051</v>
      </c>
      <c r="G15" s="404">
        <v>1</v>
      </c>
      <c r="H15" s="404" t="s">
        <v>1051</v>
      </c>
      <c r="I15" s="30" t="str">
        <f t="shared" si="0"/>
        <v>Cond1</v>
      </c>
    </row>
    <row r="16" spans="1:14" ht="14.25" x14ac:dyDescent="0.2">
      <c r="A16" s="68" t="str">
        <f>'G-1 All Habitats'!B15</f>
        <v>Grassland - Floodplain wetland mosaic and CFGM</v>
      </c>
      <c r="B16" s="404">
        <v>3</v>
      </c>
      <c r="C16" s="404">
        <v>2.5</v>
      </c>
      <c r="D16" s="404">
        <v>2</v>
      </c>
      <c r="E16" s="404">
        <v>1.5</v>
      </c>
      <c r="F16" s="404">
        <v>1</v>
      </c>
      <c r="G16" s="404" t="s">
        <v>1051</v>
      </c>
      <c r="H16" s="404" t="s">
        <v>1051</v>
      </c>
      <c r="I16" s="30" t="str">
        <f t="shared" si="0"/>
        <v>Cond4</v>
      </c>
    </row>
    <row r="17" spans="1:9" ht="14.25" x14ac:dyDescent="0.2">
      <c r="A17" s="68" t="str">
        <f>'G-1 All Habitats'!B16</f>
        <v>Grassland - Lowland calcareous grassland</v>
      </c>
      <c r="B17" s="404">
        <v>3</v>
      </c>
      <c r="C17" s="404">
        <v>2.5</v>
      </c>
      <c r="D17" s="404">
        <v>2</v>
      </c>
      <c r="E17" s="404">
        <v>1.5</v>
      </c>
      <c r="F17" s="404">
        <v>1</v>
      </c>
      <c r="G17" s="404" t="s">
        <v>1051</v>
      </c>
      <c r="H17" s="404" t="s">
        <v>1051</v>
      </c>
      <c r="I17" s="30" t="str">
        <f t="shared" si="0"/>
        <v>Cond4</v>
      </c>
    </row>
    <row r="18" spans="1:9" ht="14.25" x14ac:dyDescent="0.2">
      <c r="A18" s="68" t="str">
        <f>'G-1 All Habitats'!B17</f>
        <v>Grassland - Lowland dry acid grassland</v>
      </c>
      <c r="B18" s="404">
        <v>3</v>
      </c>
      <c r="C18" s="404">
        <v>2.5</v>
      </c>
      <c r="D18" s="404">
        <v>2</v>
      </c>
      <c r="E18" s="404">
        <v>1.5</v>
      </c>
      <c r="F18" s="404">
        <v>1</v>
      </c>
      <c r="G18" s="404" t="s">
        <v>1051</v>
      </c>
      <c r="H18" s="404" t="s">
        <v>1051</v>
      </c>
      <c r="I18" s="30" t="str">
        <f t="shared" si="0"/>
        <v>Cond4</v>
      </c>
    </row>
    <row r="19" spans="1:9" ht="14.25" x14ac:dyDescent="0.2">
      <c r="A19" s="68" t="str">
        <f>'G-1 All Habitats'!B18</f>
        <v>Grassland - Lowland meadows</v>
      </c>
      <c r="B19" s="404">
        <v>3</v>
      </c>
      <c r="C19" s="404">
        <v>2.5</v>
      </c>
      <c r="D19" s="404">
        <v>2</v>
      </c>
      <c r="E19" s="404">
        <v>1.5</v>
      </c>
      <c r="F19" s="404">
        <v>1</v>
      </c>
      <c r="G19" s="404" t="s">
        <v>1051</v>
      </c>
      <c r="H19" s="404" t="s">
        <v>1051</v>
      </c>
      <c r="I19" s="30" t="str">
        <f t="shared" si="0"/>
        <v>Cond4</v>
      </c>
    </row>
    <row r="20" spans="1:9" ht="14.25" x14ac:dyDescent="0.2">
      <c r="A20" s="68" t="str">
        <f>'G-1 All Habitats'!B19</f>
        <v>Grassland - Modified grassland</v>
      </c>
      <c r="B20" s="404">
        <v>3</v>
      </c>
      <c r="C20" s="404">
        <v>2.5</v>
      </c>
      <c r="D20" s="404">
        <v>2</v>
      </c>
      <c r="E20" s="404">
        <v>1.5</v>
      </c>
      <c r="F20" s="404">
        <v>1</v>
      </c>
      <c r="G20" s="404" t="s">
        <v>1051</v>
      </c>
      <c r="H20" s="404" t="s">
        <v>1051</v>
      </c>
      <c r="I20" s="30" t="str">
        <f t="shared" si="0"/>
        <v>Cond4</v>
      </c>
    </row>
    <row r="21" spans="1:9" ht="15" customHeight="1" x14ac:dyDescent="0.2">
      <c r="A21" s="68" t="str">
        <f>'G-1 All Habitats'!B20</f>
        <v>Grassland - Other lowland acid grassland</v>
      </c>
      <c r="B21" s="404">
        <v>3</v>
      </c>
      <c r="C21" s="404">
        <v>2.5</v>
      </c>
      <c r="D21" s="404">
        <v>2</v>
      </c>
      <c r="E21" s="404">
        <v>1.5</v>
      </c>
      <c r="F21" s="404">
        <v>1</v>
      </c>
      <c r="G21" s="404" t="s">
        <v>1051</v>
      </c>
      <c r="H21" s="404" t="s">
        <v>1051</v>
      </c>
      <c r="I21" s="30" t="str">
        <f t="shared" si="0"/>
        <v>Cond4</v>
      </c>
    </row>
    <row r="22" spans="1:9" ht="15" customHeight="1" x14ac:dyDescent="0.2">
      <c r="A22" s="68" t="str">
        <f>'G-1 All Habitats'!B21</f>
        <v>Grassland - Other neutral grassland</v>
      </c>
      <c r="B22" s="404">
        <v>3</v>
      </c>
      <c r="C22" s="404">
        <v>2.5</v>
      </c>
      <c r="D22" s="404">
        <v>2</v>
      </c>
      <c r="E22" s="404">
        <v>1.5</v>
      </c>
      <c r="F22" s="404">
        <v>1</v>
      </c>
      <c r="G22" s="404" t="s">
        <v>1051</v>
      </c>
      <c r="H22" s="404" t="s">
        <v>1051</v>
      </c>
      <c r="I22" s="30" t="str">
        <f t="shared" si="0"/>
        <v>Cond4</v>
      </c>
    </row>
    <row r="23" spans="1:9" ht="15" customHeight="1" x14ac:dyDescent="0.2">
      <c r="A23" s="68" t="str">
        <f>'G-1 All Habitats'!B22</f>
        <v>Grassland - Tall herb communities (H6430)</v>
      </c>
      <c r="B23" s="404">
        <v>3</v>
      </c>
      <c r="C23" s="404">
        <v>2.5</v>
      </c>
      <c r="D23" s="404">
        <v>2</v>
      </c>
      <c r="E23" s="404">
        <v>1.5</v>
      </c>
      <c r="F23" s="404">
        <v>1</v>
      </c>
      <c r="G23" s="404" t="s">
        <v>1051</v>
      </c>
      <c r="H23" s="404" t="s">
        <v>1051</v>
      </c>
      <c r="I23" s="30" t="str">
        <f t="shared" si="0"/>
        <v>Cond4</v>
      </c>
    </row>
    <row r="24" spans="1:9" ht="15" customHeight="1" x14ac:dyDescent="0.2">
      <c r="A24" s="68" t="str">
        <f>'G-1 All Habitats'!B23</f>
        <v>Grassland - Upland acid grassland</v>
      </c>
      <c r="B24" s="404">
        <v>3</v>
      </c>
      <c r="C24" s="404">
        <v>2.5</v>
      </c>
      <c r="D24" s="404">
        <v>2</v>
      </c>
      <c r="E24" s="404">
        <v>1.5</v>
      </c>
      <c r="F24" s="404">
        <v>1</v>
      </c>
      <c r="G24" s="404" t="s">
        <v>1051</v>
      </c>
      <c r="H24" s="404" t="s">
        <v>1051</v>
      </c>
      <c r="I24" s="30" t="str">
        <f t="shared" si="0"/>
        <v>Cond4</v>
      </c>
    </row>
    <row r="25" spans="1:9" ht="15" customHeight="1" x14ac:dyDescent="0.2">
      <c r="A25" s="68" t="str">
        <f>'G-1 All Habitats'!B24</f>
        <v>Grassland - Upland calcareous grassland</v>
      </c>
      <c r="B25" s="404">
        <v>3</v>
      </c>
      <c r="C25" s="404">
        <v>2.5</v>
      </c>
      <c r="D25" s="404">
        <v>2</v>
      </c>
      <c r="E25" s="404">
        <v>1.5</v>
      </c>
      <c r="F25" s="404">
        <v>1</v>
      </c>
      <c r="G25" s="404" t="s">
        <v>1051</v>
      </c>
      <c r="H25" s="404" t="s">
        <v>1051</v>
      </c>
      <c r="I25" s="30" t="str">
        <f t="shared" si="0"/>
        <v>Cond4</v>
      </c>
    </row>
    <row r="26" spans="1:9" ht="15" customHeight="1" x14ac:dyDescent="0.2">
      <c r="A26" s="68" t="str">
        <f>'G-1 All Habitats'!B25</f>
        <v>Grassland - Upland hay meadows</v>
      </c>
      <c r="B26" s="404">
        <v>3</v>
      </c>
      <c r="C26" s="404">
        <v>2.5</v>
      </c>
      <c r="D26" s="404">
        <v>2</v>
      </c>
      <c r="E26" s="404">
        <v>1.5</v>
      </c>
      <c r="F26" s="404">
        <v>1</v>
      </c>
      <c r="G26" s="404" t="s">
        <v>1051</v>
      </c>
      <c r="H26" s="404" t="s">
        <v>1051</v>
      </c>
      <c r="I26" s="30" t="str">
        <f t="shared" si="0"/>
        <v>Cond4</v>
      </c>
    </row>
    <row r="27" spans="1:9" ht="14.25" x14ac:dyDescent="0.2">
      <c r="A27" s="68" t="str">
        <f>'G-1 All Habitats'!B26</f>
        <v>Heathland and shrub - Blackthorn scrub</v>
      </c>
      <c r="B27" s="404">
        <v>3</v>
      </c>
      <c r="C27" s="404">
        <v>2.5</v>
      </c>
      <c r="D27" s="404">
        <v>2</v>
      </c>
      <c r="E27" s="404">
        <v>1.5</v>
      </c>
      <c r="F27" s="404">
        <v>1</v>
      </c>
      <c r="G27" s="404" t="s">
        <v>1051</v>
      </c>
      <c r="H27" s="404" t="s">
        <v>1051</v>
      </c>
      <c r="I27" s="30" t="str">
        <f t="shared" si="0"/>
        <v>Cond4</v>
      </c>
    </row>
    <row r="28" spans="1:9" ht="14.25" x14ac:dyDescent="0.2">
      <c r="A28" s="68" t="str">
        <f>'G-1 All Habitats'!B27</f>
        <v>Heathland and shrub - Bramble scrub</v>
      </c>
      <c r="B28" s="404" t="s">
        <v>1051</v>
      </c>
      <c r="C28" s="404" t="s">
        <v>1051</v>
      </c>
      <c r="D28" s="404" t="s">
        <v>1051</v>
      </c>
      <c r="E28" s="404">
        <v>1.5</v>
      </c>
      <c r="F28" s="404" t="s">
        <v>1051</v>
      </c>
      <c r="G28" s="404">
        <v>1</v>
      </c>
      <c r="H28" s="404" t="s">
        <v>1051</v>
      </c>
      <c r="I28" s="30" t="str">
        <f t="shared" si="0"/>
        <v>Cond1</v>
      </c>
    </row>
    <row r="29" spans="1:9" ht="14.25" x14ac:dyDescent="0.2">
      <c r="A29" s="68" t="str">
        <f>'G-1 All Habitats'!B28</f>
        <v>Heathland and shrub - Gorse scrub</v>
      </c>
      <c r="B29" s="404">
        <v>3</v>
      </c>
      <c r="C29" s="404">
        <v>2.5</v>
      </c>
      <c r="D29" s="404">
        <v>2</v>
      </c>
      <c r="E29" s="404">
        <v>1.5</v>
      </c>
      <c r="F29" s="404">
        <v>1</v>
      </c>
      <c r="G29" s="404" t="s">
        <v>1051</v>
      </c>
      <c r="H29" s="404" t="s">
        <v>1051</v>
      </c>
      <c r="I29" s="30" t="str">
        <f t="shared" si="0"/>
        <v>Cond4</v>
      </c>
    </row>
    <row r="30" spans="1:9" ht="14.25" x14ac:dyDescent="0.2">
      <c r="A30" s="68" t="str">
        <f>'G-1 All Habitats'!B29</f>
        <v>Heathland and shrub - Hawthorn scrub</v>
      </c>
      <c r="B30" s="404">
        <v>3</v>
      </c>
      <c r="C30" s="404">
        <v>2.5</v>
      </c>
      <c r="D30" s="404">
        <v>2</v>
      </c>
      <c r="E30" s="404">
        <v>1.5</v>
      </c>
      <c r="F30" s="404">
        <v>1</v>
      </c>
      <c r="G30" s="404" t="s">
        <v>1051</v>
      </c>
      <c r="H30" s="404" t="s">
        <v>1051</v>
      </c>
      <c r="I30" s="30" t="str">
        <f t="shared" si="0"/>
        <v>Cond4</v>
      </c>
    </row>
    <row r="31" spans="1:9" ht="14.25" x14ac:dyDescent="0.2">
      <c r="A31" s="68" t="str">
        <f>'G-1 All Habitats'!B30</f>
        <v>Heathland and shrub - Hazel scrub</v>
      </c>
      <c r="B31" s="404">
        <v>3</v>
      </c>
      <c r="C31" s="404">
        <v>2.5</v>
      </c>
      <c r="D31" s="404">
        <v>2</v>
      </c>
      <c r="E31" s="404">
        <v>1.5</v>
      </c>
      <c r="F31" s="404">
        <v>1</v>
      </c>
      <c r="G31" s="404" t="s">
        <v>1051</v>
      </c>
      <c r="H31" s="404" t="s">
        <v>1051</v>
      </c>
      <c r="I31" s="30" t="str">
        <f t="shared" si="0"/>
        <v>Cond4</v>
      </c>
    </row>
    <row r="32" spans="1:9" ht="14.25" x14ac:dyDescent="0.2">
      <c r="A32" s="68" t="str">
        <f>'G-1 All Habitats'!B31</f>
        <v>Heathland and shrub - Lowland heathland</v>
      </c>
      <c r="B32" s="404">
        <v>3</v>
      </c>
      <c r="C32" s="404">
        <v>2.5</v>
      </c>
      <c r="D32" s="404">
        <v>2</v>
      </c>
      <c r="E32" s="404">
        <v>1.5</v>
      </c>
      <c r="F32" s="404">
        <v>1</v>
      </c>
      <c r="G32" s="404" t="s">
        <v>1051</v>
      </c>
      <c r="H32" s="404" t="s">
        <v>1051</v>
      </c>
      <c r="I32" s="30" t="str">
        <f t="shared" si="0"/>
        <v>Cond4</v>
      </c>
    </row>
    <row r="33" spans="1:9" ht="14.25" x14ac:dyDescent="0.2">
      <c r="A33" s="68" t="str">
        <f>'G-1 All Habitats'!B32</f>
        <v>Heathland and shrub - Mixed scrub</v>
      </c>
      <c r="B33" s="404">
        <v>3</v>
      </c>
      <c r="C33" s="404">
        <v>2.5</v>
      </c>
      <c r="D33" s="404">
        <v>2</v>
      </c>
      <c r="E33" s="404">
        <v>1.5</v>
      </c>
      <c r="F33" s="404">
        <v>1</v>
      </c>
      <c r="G33" s="404" t="s">
        <v>1051</v>
      </c>
      <c r="H33" s="404" t="s">
        <v>1051</v>
      </c>
      <c r="I33" s="30" t="str">
        <f t="shared" si="0"/>
        <v>Cond4</v>
      </c>
    </row>
    <row r="34" spans="1:9" ht="14.25" x14ac:dyDescent="0.2">
      <c r="A34" s="68" t="str">
        <f>'G-1 All Habitats'!B33</f>
        <v>Heathland and shrub - Mountain heaths and willow scrub</v>
      </c>
      <c r="B34" s="404">
        <v>3</v>
      </c>
      <c r="C34" s="404">
        <v>2.5</v>
      </c>
      <c r="D34" s="404">
        <v>2</v>
      </c>
      <c r="E34" s="404">
        <v>1.5</v>
      </c>
      <c r="F34" s="404">
        <v>1</v>
      </c>
      <c r="G34" s="404" t="s">
        <v>1051</v>
      </c>
      <c r="H34" s="404" t="s">
        <v>1051</v>
      </c>
      <c r="I34" s="30" t="str">
        <f t="shared" si="0"/>
        <v>Cond4</v>
      </c>
    </row>
    <row r="35" spans="1:9" ht="14.25" x14ac:dyDescent="0.2">
      <c r="A35" s="68" t="str">
        <f>'G-1 All Habitats'!B34</f>
        <v>Heathland and shrub - Rhododendron scrub</v>
      </c>
      <c r="B35" s="404" t="s">
        <v>1051</v>
      </c>
      <c r="C35" s="404" t="s">
        <v>1051</v>
      </c>
      <c r="D35" s="404" t="s">
        <v>1051</v>
      </c>
      <c r="E35" s="404" t="s">
        <v>1051</v>
      </c>
      <c r="F35" s="404" t="s">
        <v>1051</v>
      </c>
      <c r="G35" s="404">
        <v>1</v>
      </c>
      <c r="H35" s="404" t="s">
        <v>1051</v>
      </c>
      <c r="I35" s="30" t="str">
        <f t="shared" si="0"/>
        <v>Cond1</v>
      </c>
    </row>
    <row r="36" spans="1:9" ht="14.25" x14ac:dyDescent="0.2">
      <c r="A36" s="68" t="str">
        <f>'G-1 All Habitats'!B35</f>
        <v>Heathland and shrub - Dunes with sea buckthorn (H2160)</v>
      </c>
      <c r="B36" s="404">
        <v>3</v>
      </c>
      <c r="C36" s="404">
        <v>2.5</v>
      </c>
      <c r="D36" s="404">
        <v>2</v>
      </c>
      <c r="E36" s="404">
        <v>1.5</v>
      </c>
      <c r="F36" s="404">
        <v>1</v>
      </c>
      <c r="G36" s="404" t="s">
        <v>1051</v>
      </c>
      <c r="H36" s="404" t="s">
        <v>1051</v>
      </c>
      <c r="I36" s="30" t="str">
        <f t="shared" si="0"/>
        <v>Cond4</v>
      </c>
    </row>
    <row r="37" spans="1:9" ht="14.25" x14ac:dyDescent="0.2">
      <c r="A37" s="68" t="str">
        <f>'G-1 All Habitats'!B36</f>
        <v>Heathland and shrub - Other sea buckthorn scrub</v>
      </c>
      <c r="B37" s="404" t="s">
        <v>1051</v>
      </c>
      <c r="C37" s="404" t="s">
        <v>1051</v>
      </c>
      <c r="D37" s="404" t="s">
        <v>1051</v>
      </c>
      <c r="E37" s="404" t="s">
        <v>1051</v>
      </c>
      <c r="F37" s="404" t="s">
        <v>1051</v>
      </c>
      <c r="G37" s="404">
        <v>1</v>
      </c>
      <c r="H37" s="404" t="s">
        <v>1051</v>
      </c>
      <c r="I37" s="30" t="str">
        <f t="shared" si="0"/>
        <v>Cond1</v>
      </c>
    </row>
    <row r="38" spans="1:9" ht="14.25" x14ac:dyDescent="0.2">
      <c r="A38" s="68" t="s">
        <v>609</v>
      </c>
      <c r="B38" s="404">
        <v>3</v>
      </c>
      <c r="C38" s="404">
        <v>2.5</v>
      </c>
      <c r="D38" s="404">
        <v>2</v>
      </c>
      <c r="E38" s="404">
        <v>1.5</v>
      </c>
      <c r="F38" s="404">
        <v>1</v>
      </c>
      <c r="G38" s="404" t="s">
        <v>1051</v>
      </c>
      <c r="H38" s="404" t="s">
        <v>1051</v>
      </c>
      <c r="I38" s="30" t="str">
        <f t="shared" si="0"/>
        <v>Cond4</v>
      </c>
    </row>
    <row r="39" spans="1:9" ht="14.25" x14ac:dyDescent="0.2">
      <c r="A39" s="68" t="str">
        <f>'G-1 All Habitats'!B38</f>
        <v>Heathland and shrub - Upland heathland</v>
      </c>
      <c r="B39" s="404">
        <v>3</v>
      </c>
      <c r="C39" s="404">
        <v>2.5</v>
      </c>
      <c r="D39" s="404">
        <v>2</v>
      </c>
      <c r="E39" s="404">
        <v>1.5</v>
      </c>
      <c r="F39" s="404">
        <v>1</v>
      </c>
      <c r="G39" s="404" t="s">
        <v>1051</v>
      </c>
      <c r="H39" s="404" t="s">
        <v>1051</v>
      </c>
      <c r="I39" s="30" t="str">
        <f t="shared" si="0"/>
        <v>Cond4</v>
      </c>
    </row>
    <row r="40" spans="1:9" ht="14.25" x14ac:dyDescent="0.2">
      <c r="A40" s="68" t="str">
        <f>'G-1 All Habitats'!B39</f>
        <v>Lakes - Aquifer fed naturally fluctuating water bodies</v>
      </c>
      <c r="B40" s="404">
        <v>3</v>
      </c>
      <c r="C40" s="404">
        <v>2.5</v>
      </c>
      <c r="D40" s="404">
        <v>2</v>
      </c>
      <c r="E40" s="404">
        <v>1.5</v>
      </c>
      <c r="F40" s="404">
        <v>1</v>
      </c>
      <c r="G40" s="404" t="s">
        <v>1051</v>
      </c>
      <c r="H40" s="404" t="s">
        <v>1051</v>
      </c>
      <c r="I40" s="30" t="str">
        <f t="shared" si="0"/>
        <v>Cond4</v>
      </c>
    </row>
    <row r="41" spans="1:9" ht="14.25" x14ac:dyDescent="0.2">
      <c r="A41" s="68" t="str">
        <f>'G-1 All Habitats'!B41</f>
        <v>Lakes - High alkalinity lakes</v>
      </c>
      <c r="B41" s="404">
        <v>3</v>
      </c>
      <c r="C41" s="404">
        <v>2.5</v>
      </c>
      <c r="D41" s="404">
        <v>2</v>
      </c>
      <c r="E41" s="404">
        <v>1.5</v>
      </c>
      <c r="F41" s="404">
        <v>1</v>
      </c>
      <c r="G41" s="404" t="s">
        <v>1051</v>
      </c>
      <c r="H41" s="404" t="s">
        <v>1051</v>
      </c>
      <c r="I41" s="30" t="str">
        <f t="shared" si="0"/>
        <v>Cond4</v>
      </c>
    </row>
    <row r="42" spans="1:9" ht="14.25" x14ac:dyDescent="0.2">
      <c r="A42" s="68" t="str">
        <f>'G-1 All Habitats'!B42</f>
        <v>Lakes - Low alkalinity lakes</v>
      </c>
      <c r="B42" s="404">
        <v>3</v>
      </c>
      <c r="C42" s="404">
        <v>2.5</v>
      </c>
      <c r="D42" s="404">
        <v>2</v>
      </c>
      <c r="E42" s="404">
        <v>1.5</v>
      </c>
      <c r="F42" s="404">
        <v>1</v>
      </c>
      <c r="G42" s="404" t="s">
        <v>1051</v>
      </c>
      <c r="H42" s="404" t="s">
        <v>1051</v>
      </c>
      <c r="I42" s="30" t="str">
        <f t="shared" ref="I42:I74" si="1">IF(G42=1,"Cond1",IF(H42=0,"Cond2",IF(AND(B42=3,C42=2.5,D42=2,E42=1.5,F42=1),"Cond4",IF(F42=1,"Cond3","Check"))))</f>
        <v>Cond4</v>
      </c>
    </row>
    <row r="43" spans="1:9" ht="14.25" x14ac:dyDescent="0.2">
      <c r="A43" s="68" t="str">
        <f>'G-1 All Habitats'!B43</f>
        <v>Lakes - Marl lakes</v>
      </c>
      <c r="B43" s="404">
        <v>3</v>
      </c>
      <c r="C43" s="404">
        <v>2.5</v>
      </c>
      <c r="D43" s="404">
        <v>2</v>
      </c>
      <c r="E43" s="404">
        <v>1.5</v>
      </c>
      <c r="F43" s="404">
        <v>1</v>
      </c>
      <c r="G43" s="404" t="s">
        <v>1051</v>
      </c>
      <c r="H43" s="404" t="s">
        <v>1051</v>
      </c>
      <c r="I43" s="30" t="str">
        <f t="shared" si="1"/>
        <v>Cond4</v>
      </c>
    </row>
    <row r="44" spans="1:9" ht="14.25" x14ac:dyDescent="0.2">
      <c r="A44" s="68" t="str">
        <f>'G-1 All Habitats'!B44</f>
        <v>Lakes - Moderate alkalinity lakes</v>
      </c>
      <c r="B44" s="404">
        <v>3</v>
      </c>
      <c r="C44" s="404">
        <v>2.5</v>
      </c>
      <c r="D44" s="404">
        <v>2</v>
      </c>
      <c r="E44" s="404">
        <v>1.5</v>
      </c>
      <c r="F44" s="404">
        <v>1</v>
      </c>
      <c r="G44" s="404" t="s">
        <v>1051</v>
      </c>
      <c r="H44" s="404" t="s">
        <v>1051</v>
      </c>
      <c r="I44" s="30" t="str">
        <f t="shared" si="1"/>
        <v>Cond4</v>
      </c>
    </row>
    <row r="45" spans="1:9" ht="14.25" x14ac:dyDescent="0.2">
      <c r="A45" s="68" t="str">
        <f>'G-1 All Habitats'!B45</f>
        <v>Lakes - Peat lakes</v>
      </c>
      <c r="B45" s="404">
        <v>3</v>
      </c>
      <c r="C45" s="404">
        <v>2.5</v>
      </c>
      <c r="D45" s="404">
        <v>2</v>
      </c>
      <c r="E45" s="404">
        <v>1.5</v>
      </c>
      <c r="F45" s="404">
        <v>1</v>
      </c>
      <c r="G45" s="404" t="s">
        <v>1051</v>
      </c>
      <c r="H45" s="404" t="s">
        <v>1051</v>
      </c>
      <c r="I45" s="30" t="str">
        <f t="shared" si="1"/>
        <v>Cond4</v>
      </c>
    </row>
    <row r="46" spans="1:9" ht="14.25" x14ac:dyDescent="0.2">
      <c r="A46" s="68" t="str">
        <f>'G-1 All Habitats'!B46</f>
        <v>Lakes - Ponds (priority habitat)</v>
      </c>
      <c r="B46" s="404">
        <v>3</v>
      </c>
      <c r="C46" s="404">
        <v>2.5</v>
      </c>
      <c r="D46" s="404">
        <v>2</v>
      </c>
      <c r="E46" s="404">
        <v>1.5</v>
      </c>
      <c r="F46" s="404">
        <v>1</v>
      </c>
      <c r="G46" s="404" t="s">
        <v>1051</v>
      </c>
      <c r="H46" s="404" t="s">
        <v>1051</v>
      </c>
      <c r="I46" s="30" t="str">
        <f t="shared" si="1"/>
        <v>Cond4</v>
      </c>
    </row>
    <row r="47" spans="1:9" ht="14.25" x14ac:dyDescent="0.2">
      <c r="A47" s="68" t="str">
        <f>'G-1 All Habitats'!B47</f>
        <v>Lakes - Ponds (non-priority habitat)</v>
      </c>
      <c r="B47" s="404">
        <v>3</v>
      </c>
      <c r="C47" s="404">
        <v>2.5</v>
      </c>
      <c r="D47" s="404">
        <v>2</v>
      </c>
      <c r="E47" s="404">
        <v>1.5</v>
      </c>
      <c r="F47" s="404">
        <v>1</v>
      </c>
      <c r="G47" s="404" t="s">
        <v>1051</v>
      </c>
      <c r="H47" s="404" t="s">
        <v>1051</v>
      </c>
      <c r="I47" s="30" t="str">
        <f t="shared" si="1"/>
        <v>Cond4</v>
      </c>
    </row>
    <row r="48" spans="1:9" ht="14.25" x14ac:dyDescent="0.2">
      <c r="A48" s="68" t="str">
        <f>'G-1 All Habitats'!B48</f>
        <v>Lakes - Reservoirs</v>
      </c>
      <c r="B48" s="404">
        <v>3</v>
      </c>
      <c r="C48" s="404">
        <v>2.5</v>
      </c>
      <c r="D48" s="404">
        <v>2</v>
      </c>
      <c r="E48" s="404">
        <v>1.5</v>
      </c>
      <c r="F48" s="404">
        <v>1</v>
      </c>
      <c r="G48" s="404" t="s">
        <v>1051</v>
      </c>
      <c r="H48" s="404" t="s">
        <v>1051</v>
      </c>
      <c r="I48" s="30" t="str">
        <f t="shared" si="1"/>
        <v>Cond4</v>
      </c>
    </row>
    <row r="49" spans="1:9" ht="14.25" x14ac:dyDescent="0.2">
      <c r="A49" s="68" t="str">
        <f>'G-1 All Habitats'!B49</f>
        <v>Lakes - Temporary lakes ponds and pools (H3170)</v>
      </c>
      <c r="B49" s="404">
        <v>3</v>
      </c>
      <c r="C49" s="404">
        <v>2.5</v>
      </c>
      <c r="D49" s="404">
        <v>2</v>
      </c>
      <c r="E49" s="404">
        <v>1.5</v>
      </c>
      <c r="F49" s="404">
        <v>1</v>
      </c>
      <c r="G49" s="404" t="s">
        <v>1051</v>
      </c>
      <c r="H49" s="404" t="s">
        <v>1051</v>
      </c>
      <c r="I49" s="30" t="str">
        <f t="shared" si="1"/>
        <v>Cond4</v>
      </c>
    </row>
    <row r="50" spans="1:9" ht="14.25" x14ac:dyDescent="0.2">
      <c r="A50" s="68" t="str">
        <f>'G-1 All Habitats'!B50</f>
        <v>Sparsely vegetated land - Calaminarian grasslands</v>
      </c>
      <c r="B50" s="404">
        <v>3</v>
      </c>
      <c r="C50" s="404">
        <v>2.5</v>
      </c>
      <c r="D50" s="404">
        <v>2</v>
      </c>
      <c r="E50" s="404">
        <v>1.5</v>
      </c>
      <c r="F50" s="404">
        <v>1</v>
      </c>
      <c r="G50" s="404" t="s">
        <v>1051</v>
      </c>
      <c r="H50" s="404" t="s">
        <v>1051</v>
      </c>
      <c r="I50" s="30" t="str">
        <f t="shared" si="1"/>
        <v>Cond4</v>
      </c>
    </row>
    <row r="51" spans="1:9" ht="14.25" x14ac:dyDescent="0.2">
      <c r="A51" s="68" t="str">
        <f>'G-1 All Habitats'!B51</f>
        <v>Sparsely vegetated land - Coastal sand dunes</v>
      </c>
      <c r="B51" s="404">
        <v>3</v>
      </c>
      <c r="C51" s="404">
        <v>2.5</v>
      </c>
      <c r="D51" s="404">
        <v>2</v>
      </c>
      <c r="E51" s="404">
        <v>1.5</v>
      </c>
      <c r="F51" s="404">
        <v>1</v>
      </c>
      <c r="G51" s="404" t="s">
        <v>1051</v>
      </c>
      <c r="H51" s="404" t="s">
        <v>1051</v>
      </c>
      <c r="I51" s="30" t="str">
        <f t="shared" si="1"/>
        <v>Cond4</v>
      </c>
    </row>
    <row r="52" spans="1:9" ht="14.25" x14ac:dyDescent="0.2">
      <c r="A52" s="68" t="str">
        <f>'G-1 All Habitats'!B52</f>
        <v>Sparsely vegetated land - Coastal vegetated shingle</v>
      </c>
      <c r="B52" s="404">
        <v>3</v>
      </c>
      <c r="C52" s="404">
        <v>2.5</v>
      </c>
      <c r="D52" s="404">
        <v>2</v>
      </c>
      <c r="E52" s="404">
        <v>1.5</v>
      </c>
      <c r="F52" s="404">
        <v>1</v>
      </c>
      <c r="G52" s="404" t="s">
        <v>1051</v>
      </c>
      <c r="H52" s="404" t="s">
        <v>1051</v>
      </c>
      <c r="I52" s="30" t="str">
        <f t="shared" si="1"/>
        <v>Cond4</v>
      </c>
    </row>
    <row r="53" spans="1:9" ht="14.25" x14ac:dyDescent="0.2">
      <c r="A53" s="68" t="str">
        <f>'G-1 All Habitats'!B53</f>
        <v>Sparsely vegetated land - Ruderal/Ephemeral</v>
      </c>
      <c r="B53" s="404">
        <v>3</v>
      </c>
      <c r="C53" s="404">
        <v>2.5</v>
      </c>
      <c r="D53" s="404">
        <v>2</v>
      </c>
      <c r="E53" s="404">
        <v>1.5</v>
      </c>
      <c r="F53" s="404">
        <v>1</v>
      </c>
      <c r="G53" s="404" t="s">
        <v>1051</v>
      </c>
      <c r="H53" s="404" t="s">
        <v>1051</v>
      </c>
      <c r="I53" s="30" t="str">
        <f t="shared" si="1"/>
        <v>Cond4</v>
      </c>
    </row>
    <row r="54" spans="1:9" ht="14.25" x14ac:dyDescent="0.2">
      <c r="A54" s="68" t="s">
        <v>667</v>
      </c>
      <c r="B54" s="404">
        <v>3</v>
      </c>
      <c r="C54" s="404">
        <v>2.5</v>
      </c>
      <c r="D54" s="404">
        <v>2</v>
      </c>
      <c r="E54" s="404">
        <v>1.5</v>
      </c>
      <c r="F54" s="404">
        <v>1</v>
      </c>
      <c r="G54" s="404" t="s">
        <v>1051</v>
      </c>
      <c r="H54" s="404" t="s">
        <v>1051</v>
      </c>
      <c r="I54" s="30" t="str">
        <f t="shared" si="1"/>
        <v>Cond4</v>
      </c>
    </row>
    <row r="55" spans="1:9" ht="14.25" x14ac:dyDescent="0.2">
      <c r="A55" s="68" t="str">
        <f>'G-1 All Habitats'!B55</f>
        <v>Sparsely vegetated land - Inland rock outcrop and scree habitats</v>
      </c>
      <c r="B55" s="404">
        <v>3</v>
      </c>
      <c r="C55" s="404">
        <v>2.5</v>
      </c>
      <c r="D55" s="404">
        <v>2</v>
      </c>
      <c r="E55" s="404">
        <v>1.5</v>
      </c>
      <c r="F55" s="404">
        <v>1</v>
      </c>
      <c r="G55" s="404" t="s">
        <v>1051</v>
      </c>
      <c r="H55" s="404" t="s">
        <v>1051</v>
      </c>
      <c r="I55" s="30" t="str">
        <f t="shared" si="1"/>
        <v>Cond4</v>
      </c>
    </row>
    <row r="56" spans="1:9" ht="14.25" x14ac:dyDescent="0.2">
      <c r="A56" s="68" t="str">
        <f>'G-1 All Habitats'!B56</f>
        <v>Sparsely vegetated land - Limestone pavement</v>
      </c>
      <c r="B56" s="404">
        <v>3</v>
      </c>
      <c r="C56" s="404">
        <v>2.5</v>
      </c>
      <c r="D56" s="404">
        <v>2</v>
      </c>
      <c r="E56" s="404">
        <v>1.5</v>
      </c>
      <c r="F56" s="404">
        <v>1</v>
      </c>
      <c r="G56" s="404" t="s">
        <v>1051</v>
      </c>
      <c r="H56" s="404" t="s">
        <v>1051</v>
      </c>
      <c r="I56" s="30" t="str">
        <f t="shared" si="1"/>
        <v>Cond4</v>
      </c>
    </row>
    <row r="57" spans="1:9" ht="14.25" x14ac:dyDescent="0.2">
      <c r="A57" s="68" t="str">
        <f>'G-1 All Habitats'!B57</f>
        <v>Sparsely vegetated land - Maritime cliff and slopes</v>
      </c>
      <c r="B57" s="404">
        <v>3</v>
      </c>
      <c r="C57" s="404">
        <v>2.5</v>
      </c>
      <c r="D57" s="404">
        <v>2</v>
      </c>
      <c r="E57" s="404">
        <v>1.5</v>
      </c>
      <c r="F57" s="404">
        <v>1</v>
      </c>
      <c r="G57" s="404" t="s">
        <v>1051</v>
      </c>
      <c r="H57" s="404" t="s">
        <v>1051</v>
      </c>
      <c r="I57" s="30" t="str">
        <f t="shared" si="1"/>
        <v>Cond4</v>
      </c>
    </row>
    <row r="58" spans="1:9" ht="14.25" x14ac:dyDescent="0.2">
      <c r="A58" s="68" t="str">
        <f>'G-1 All Habitats'!B58</f>
        <v>Sparsely vegetated land - Other inland rock and scree</v>
      </c>
      <c r="B58" s="404">
        <v>3</v>
      </c>
      <c r="C58" s="404">
        <v>2.5</v>
      </c>
      <c r="D58" s="404">
        <v>2</v>
      </c>
      <c r="E58" s="404">
        <v>1.5</v>
      </c>
      <c r="F58" s="404">
        <v>1</v>
      </c>
      <c r="G58" s="404" t="s">
        <v>1051</v>
      </c>
      <c r="H58" s="404" t="s">
        <v>1051</v>
      </c>
      <c r="I58" s="30" t="str">
        <f t="shared" si="1"/>
        <v>Cond4</v>
      </c>
    </row>
    <row r="59" spans="1:9" ht="14.25" x14ac:dyDescent="0.2">
      <c r="A59" s="68" t="str">
        <f>'G-1 All Habitats'!B59</f>
        <v>Urban - Allotments</v>
      </c>
      <c r="B59" s="404">
        <v>3</v>
      </c>
      <c r="C59" s="404">
        <v>2.5</v>
      </c>
      <c r="D59" s="404">
        <v>2</v>
      </c>
      <c r="E59" s="404">
        <v>1.5</v>
      </c>
      <c r="F59" s="404">
        <v>1</v>
      </c>
      <c r="G59" s="404" t="s">
        <v>1051</v>
      </c>
      <c r="H59" s="404" t="s">
        <v>1051</v>
      </c>
      <c r="I59" s="30" t="str">
        <f t="shared" si="1"/>
        <v>Cond4</v>
      </c>
    </row>
    <row r="60" spans="1:9" ht="14.25" x14ac:dyDescent="0.2">
      <c r="A60" s="68" t="str">
        <f>'G-1 All Habitats'!B40</f>
        <v>Lakes - Ornamental lake or pond</v>
      </c>
      <c r="B60" s="404">
        <v>3</v>
      </c>
      <c r="C60" s="404">
        <v>2.5</v>
      </c>
      <c r="D60" s="404">
        <v>2</v>
      </c>
      <c r="E60" s="404">
        <v>1.5</v>
      </c>
      <c r="F60" s="404">
        <v>1</v>
      </c>
      <c r="G60" s="404" t="s">
        <v>1051</v>
      </c>
      <c r="H60" s="404" t="s">
        <v>1051</v>
      </c>
      <c r="I60" s="30" t="str">
        <f t="shared" si="1"/>
        <v>Cond4</v>
      </c>
    </row>
    <row r="61" spans="1:9" ht="14.25" x14ac:dyDescent="0.2">
      <c r="A61" s="68" t="str">
        <f>'G-1 All Habitats'!B60</f>
        <v>Urban - Artificial unvegetated, unsealed surface</v>
      </c>
      <c r="B61" s="404" t="s">
        <v>1051</v>
      </c>
      <c r="C61" s="404" t="s">
        <v>1051</v>
      </c>
      <c r="D61" s="404" t="s">
        <v>1051</v>
      </c>
      <c r="E61" s="404" t="s">
        <v>1051</v>
      </c>
      <c r="F61" s="404" t="s">
        <v>1051</v>
      </c>
      <c r="G61" s="404" t="s">
        <v>1051</v>
      </c>
      <c r="H61" s="440">
        <v>0</v>
      </c>
      <c r="I61" s="30" t="str">
        <f t="shared" si="1"/>
        <v>Cond2</v>
      </c>
    </row>
    <row r="62" spans="1:9" ht="14.25" x14ac:dyDescent="0.2">
      <c r="A62" s="68" t="str">
        <f>'G-1 All Habitats'!B61</f>
        <v>Urban - Bioswale</v>
      </c>
      <c r="B62" s="404">
        <v>3</v>
      </c>
      <c r="C62" s="404">
        <v>2.5</v>
      </c>
      <c r="D62" s="404">
        <v>2</v>
      </c>
      <c r="E62" s="404">
        <v>1.5</v>
      </c>
      <c r="F62" s="404">
        <v>1</v>
      </c>
      <c r="G62" s="404" t="s">
        <v>1051</v>
      </c>
      <c r="H62" s="404" t="s">
        <v>1051</v>
      </c>
      <c r="I62" s="30" t="str">
        <f t="shared" si="1"/>
        <v>Cond4</v>
      </c>
    </row>
    <row r="63" spans="1:9" ht="14.25" x14ac:dyDescent="0.2">
      <c r="A63" s="68" t="str">
        <f>'G-1 All Habitats'!B62</f>
        <v>Urban - Intensive green roof</v>
      </c>
      <c r="B63" s="404">
        <v>3</v>
      </c>
      <c r="C63" s="404">
        <v>2.5</v>
      </c>
      <c r="D63" s="404">
        <v>2</v>
      </c>
      <c r="E63" s="404">
        <v>1.5</v>
      </c>
      <c r="F63" s="404">
        <v>1</v>
      </c>
      <c r="G63" s="404" t="s">
        <v>1051</v>
      </c>
      <c r="H63" s="404" t="s">
        <v>1051</v>
      </c>
      <c r="I63" s="30" t="str">
        <f t="shared" si="1"/>
        <v>Cond4</v>
      </c>
    </row>
    <row r="64" spans="1:9" ht="14.25" x14ac:dyDescent="0.2">
      <c r="A64" s="68" t="str">
        <f>'G-1 All Habitats'!B63</f>
        <v>Urban - Built linear features</v>
      </c>
      <c r="B64" s="404" t="s">
        <v>1051</v>
      </c>
      <c r="C64" s="404" t="s">
        <v>1051</v>
      </c>
      <c r="D64" s="404" t="s">
        <v>1051</v>
      </c>
      <c r="E64" s="404" t="s">
        <v>1051</v>
      </c>
      <c r="F64" s="404" t="s">
        <v>1051</v>
      </c>
      <c r="G64" s="404" t="s">
        <v>1051</v>
      </c>
      <c r="H64" s="440">
        <v>0</v>
      </c>
      <c r="I64" s="30" t="str">
        <f t="shared" si="1"/>
        <v>Cond2</v>
      </c>
    </row>
    <row r="65" spans="1:9" ht="14.25" x14ac:dyDescent="0.2">
      <c r="A65" s="68" t="str">
        <f>'G-1 All Habitats'!B64</f>
        <v>Urban - Cemeteries and churchyards</v>
      </c>
      <c r="B65" s="404">
        <v>3</v>
      </c>
      <c r="C65" s="404">
        <v>2.5</v>
      </c>
      <c r="D65" s="404">
        <v>2</v>
      </c>
      <c r="E65" s="404">
        <v>1.5</v>
      </c>
      <c r="F65" s="404">
        <v>1</v>
      </c>
      <c r="G65" s="404" t="s">
        <v>1051</v>
      </c>
      <c r="H65" s="404" t="s">
        <v>1051</v>
      </c>
      <c r="I65" s="30" t="str">
        <f t="shared" si="1"/>
        <v>Cond4</v>
      </c>
    </row>
    <row r="66" spans="1:9" ht="14.25" x14ac:dyDescent="0.2">
      <c r="A66" s="68" t="str">
        <f>'G-1 All Habitats'!B65</f>
        <v>Urban - Developed land; sealed surface</v>
      </c>
      <c r="B66" s="404" t="s">
        <v>1051</v>
      </c>
      <c r="C66" s="404" t="s">
        <v>1051</v>
      </c>
      <c r="D66" s="404" t="s">
        <v>1051</v>
      </c>
      <c r="E66" s="404" t="s">
        <v>1051</v>
      </c>
      <c r="F66" s="404" t="s">
        <v>1051</v>
      </c>
      <c r="G66" s="404" t="s">
        <v>1051</v>
      </c>
      <c r="H66" s="440">
        <v>0</v>
      </c>
      <c r="I66" s="30" t="str">
        <f t="shared" si="1"/>
        <v>Cond2</v>
      </c>
    </row>
    <row r="67" spans="1:9" ht="14.25" x14ac:dyDescent="0.2">
      <c r="A67" s="68" t="str">
        <f>'G-1 All Habitats'!B66</f>
        <v>Urban - Other green roof</v>
      </c>
      <c r="B67" s="404" t="s">
        <v>1051</v>
      </c>
      <c r="C67" s="404" t="s">
        <v>1051</v>
      </c>
      <c r="D67" s="404" t="s">
        <v>1051</v>
      </c>
      <c r="E67" s="404" t="s">
        <v>1051</v>
      </c>
      <c r="F67" s="404" t="s">
        <v>1051</v>
      </c>
      <c r="G67" s="404">
        <v>1</v>
      </c>
      <c r="H67" s="404" t="s">
        <v>1051</v>
      </c>
      <c r="I67" s="30" t="str">
        <f t="shared" si="1"/>
        <v>Cond1</v>
      </c>
    </row>
    <row r="68" spans="1:9" ht="14.25" x14ac:dyDescent="0.2">
      <c r="A68" s="68" t="str">
        <f>'G-1 All Habitats'!B67</f>
        <v>Urban - Facade-bound green wall</v>
      </c>
      <c r="B68" s="404">
        <v>3</v>
      </c>
      <c r="C68" s="404">
        <v>2.5</v>
      </c>
      <c r="D68" s="404">
        <v>2</v>
      </c>
      <c r="E68" s="404">
        <v>1.5</v>
      </c>
      <c r="F68" s="404">
        <v>1</v>
      </c>
      <c r="G68" s="404" t="s">
        <v>1051</v>
      </c>
      <c r="H68" s="404" t="s">
        <v>1051</v>
      </c>
      <c r="I68" s="30" t="str">
        <f t="shared" si="1"/>
        <v>Cond4</v>
      </c>
    </row>
    <row r="69" spans="1:9" ht="14.25" x14ac:dyDescent="0.2">
      <c r="A69" s="68" t="str">
        <f>'G-1 All Habitats'!B68</f>
        <v>Urban - Ground based green wall</v>
      </c>
      <c r="B69" s="404">
        <v>3</v>
      </c>
      <c r="C69" s="404">
        <v>2.5</v>
      </c>
      <c r="D69" s="404">
        <v>2</v>
      </c>
      <c r="E69" s="404">
        <v>1.5</v>
      </c>
      <c r="F69" s="404">
        <v>1</v>
      </c>
      <c r="G69" s="404" t="s">
        <v>1051</v>
      </c>
      <c r="H69" s="404" t="s">
        <v>1051</v>
      </c>
      <c r="I69" s="30" t="str">
        <f t="shared" si="1"/>
        <v>Cond4</v>
      </c>
    </row>
    <row r="70" spans="1:9" ht="14.25" x14ac:dyDescent="0.2">
      <c r="A70" s="68" t="str">
        <f>'G-1 All Habitats'!B69</f>
        <v>Urban - Ground level planters</v>
      </c>
      <c r="B70" s="404" t="s">
        <v>1051</v>
      </c>
      <c r="C70" s="404" t="s">
        <v>1051</v>
      </c>
      <c r="D70" s="404" t="s">
        <v>1051</v>
      </c>
      <c r="E70" s="404" t="s">
        <v>1051</v>
      </c>
      <c r="F70" s="404" t="s">
        <v>1051</v>
      </c>
      <c r="G70" s="404">
        <v>1</v>
      </c>
      <c r="H70" s="404" t="s">
        <v>1051</v>
      </c>
      <c r="I70" s="30" t="str">
        <f t="shared" si="1"/>
        <v>Cond1</v>
      </c>
    </row>
    <row r="71" spans="1:9" ht="14.25" x14ac:dyDescent="0.2">
      <c r="A71" s="68" t="str">
        <f>'G-1 All Habitats'!B70</f>
        <v>Urban - Biodiverse green roof</v>
      </c>
      <c r="B71" s="404">
        <v>3</v>
      </c>
      <c r="C71" s="404">
        <v>2.5</v>
      </c>
      <c r="D71" s="404">
        <v>2</v>
      </c>
      <c r="E71" s="404">
        <v>1.5</v>
      </c>
      <c r="F71" s="404">
        <v>1</v>
      </c>
      <c r="G71" s="404" t="s">
        <v>1051</v>
      </c>
      <c r="H71" s="404" t="s">
        <v>1051</v>
      </c>
      <c r="I71" s="30" t="str">
        <f t="shared" si="1"/>
        <v>Cond4</v>
      </c>
    </row>
    <row r="72" spans="1:9" ht="14.25" x14ac:dyDescent="0.2">
      <c r="A72" s="68" t="str">
        <f>'G-1 All Habitats'!B71</f>
        <v>Urban - Introduced shrub</v>
      </c>
      <c r="B72" s="404" t="s">
        <v>1051</v>
      </c>
      <c r="C72" s="404" t="s">
        <v>1051</v>
      </c>
      <c r="D72" s="404" t="s">
        <v>1051</v>
      </c>
      <c r="E72" s="404" t="s">
        <v>1051</v>
      </c>
      <c r="F72" s="404" t="s">
        <v>1051</v>
      </c>
      <c r="G72" s="404">
        <v>1</v>
      </c>
      <c r="H72" s="404" t="s">
        <v>1051</v>
      </c>
      <c r="I72" s="30" t="str">
        <f t="shared" si="1"/>
        <v>Cond1</v>
      </c>
    </row>
    <row r="73" spans="1:9" ht="14.25" x14ac:dyDescent="0.2">
      <c r="A73" s="68" t="str">
        <f>'G-1 All Habitats'!B72</f>
        <v>Urban - Open mosaic habitats on previously developed land</v>
      </c>
      <c r="B73" s="404">
        <v>3</v>
      </c>
      <c r="C73" s="404">
        <v>2.5</v>
      </c>
      <c r="D73" s="404">
        <v>2</v>
      </c>
      <c r="E73" s="404">
        <v>1.5</v>
      </c>
      <c r="F73" s="404">
        <v>1</v>
      </c>
      <c r="G73" s="404" t="s">
        <v>1051</v>
      </c>
      <c r="H73" s="404" t="s">
        <v>1051</v>
      </c>
      <c r="I73" s="30" t="str">
        <f t="shared" si="1"/>
        <v>Cond4</v>
      </c>
    </row>
    <row r="74" spans="1:9" ht="14.25" x14ac:dyDescent="0.2">
      <c r="A74" s="68" t="str">
        <f>'G-1 All Habitats'!B73</f>
        <v>Urban - Rain garden</v>
      </c>
      <c r="B74" s="404">
        <v>3</v>
      </c>
      <c r="C74" s="404">
        <v>2.5</v>
      </c>
      <c r="D74" s="404">
        <v>2</v>
      </c>
      <c r="E74" s="404">
        <v>1.5</v>
      </c>
      <c r="F74" s="404">
        <v>1</v>
      </c>
      <c r="G74" s="404" t="s">
        <v>1051</v>
      </c>
      <c r="H74" s="404" t="s">
        <v>1051</v>
      </c>
      <c r="I74" s="30" t="str">
        <f t="shared" si="1"/>
        <v>Cond4</v>
      </c>
    </row>
    <row r="75" spans="1:9" ht="14.25" x14ac:dyDescent="0.2">
      <c r="A75" s="68" t="str">
        <f>'G-1 All Habitats'!B74</f>
        <v>Urban - Actively worked sand pit quarry or open cast mine</v>
      </c>
      <c r="B75" s="404" t="s">
        <v>1051</v>
      </c>
      <c r="C75" s="404" t="s">
        <v>1051</v>
      </c>
      <c r="D75" s="404" t="s">
        <v>1051</v>
      </c>
      <c r="E75" s="404" t="s">
        <v>1051</v>
      </c>
      <c r="F75" s="404" t="s">
        <v>1051</v>
      </c>
      <c r="G75" s="404">
        <v>1</v>
      </c>
      <c r="H75" s="404" t="s">
        <v>1051</v>
      </c>
      <c r="I75" s="30" t="str">
        <f t="shared" ref="I75:I89" si="2">IF(G75=1,"Cond1",IF(H75=0,"Cond2",IF(AND(B75=3,C75=2.5,D75=2,E75=1.5,F75=1),"Cond4",IF(F75=1,"Cond3","Check"))))</f>
        <v>Cond1</v>
      </c>
    </row>
    <row r="76" spans="1:9" ht="14.25" x14ac:dyDescent="0.2">
      <c r="A76" s="68" t="str">
        <f>'G-1 All Habitats'!B80</f>
        <v>Individual trees - Urban tree</v>
      </c>
      <c r="B76" s="404">
        <v>3</v>
      </c>
      <c r="C76" s="404">
        <v>2.5</v>
      </c>
      <c r="D76" s="404">
        <v>2</v>
      </c>
      <c r="E76" s="404">
        <v>1.5</v>
      </c>
      <c r="F76" s="404">
        <v>1</v>
      </c>
      <c r="G76" s="404" t="s">
        <v>1051</v>
      </c>
      <c r="H76" s="404" t="s">
        <v>1051</v>
      </c>
      <c r="I76" s="30" t="str">
        <f t="shared" si="2"/>
        <v>Cond4</v>
      </c>
    </row>
    <row r="77" spans="1:9" ht="14.25" x14ac:dyDescent="0.2">
      <c r="A77" s="68" t="str">
        <f>'G-1 All Habitats'!B75</f>
        <v>Urban - Sustainable drainage system</v>
      </c>
      <c r="B77" s="404">
        <v>3</v>
      </c>
      <c r="C77" s="404">
        <v>2.5</v>
      </c>
      <c r="D77" s="404">
        <v>2</v>
      </c>
      <c r="E77" s="404">
        <v>1.5</v>
      </c>
      <c r="F77" s="404">
        <v>1</v>
      </c>
      <c r="G77" s="404" t="s">
        <v>1051</v>
      </c>
      <c r="H77" s="404" t="s">
        <v>1051</v>
      </c>
      <c r="I77" s="30" t="str">
        <f t="shared" si="2"/>
        <v>Cond4</v>
      </c>
    </row>
    <row r="78" spans="1:9" ht="14.25" x14ac:dyDescent="0.2">
      <c r="A78" s="68" t="str">
        <f>'G-1 All Habitats'!B76</f>
        <v>Urban - Unvegetated garden</v>
      </c>
      <c r="B78" s="404" t="s">
        <v>1051</v>
      </c>
      <c r="C78" s="404" t="s">
        <v>1051</v>
      </c>
      <c r="D78" s="404" t="s">
        <v>1051</v>
      </c>
      <c r="E78" s="404" t="s">
        <v>1051</v>
      </c>
      <c r="F78" s="404" t="s">
        <v>1051</v>
      </c>
      <c r="G78" s="404" t="s">
        <v>1051</v>
      </c>
      <c r="H78" s="440">
        <v>0</v>
      </c>
      <c r="I78" s="30" t="str">
        <f t="shared" si="2"/>
        <v>Cond2</v>
      </c>
    </row>
    <row r="79" spans="1:9" ht="14.25" x14ac:dyDescent="0.2">
      <c r="A79" s="68" t="str">
        <f>'G-1 All Habitats'!B77</f>
        <v>Urban - Vacant or derelict land</v>
      </c>
      <c r="B79" s="404">
        <v>3</v>
      </c>
      <c r="C79" s="404">
        <v>2.5</v>
      </c>
      <c r="D79" s="404">
        <v>2</v>
      </c>
      <c r="E79" s="404">
        <v>1.5</v>
      </c>
      <c r="F79" s="404">
        <v>1</v>
      </c>
      <c r="G79" s="404" t="s">
        <v>1051</v>
      </c>
      <c r="H79" s="404" t="s">
        <v>1051</v>
      </c>
      <c r="I79" s="30" t="str">
        <f t="shared" si="2"/>
        <v>Cond4</v>
      </c>
    </row>
    <row r="80" spans="1:9" ht="14.25" x14ac:dyDescent="0.2">
      <c r="A80" s="68" t="s">
        <v>738</v>
      </c>
      <c r="B80" s="404">
        <v>3</v>
      </c>
      <c r="C80" s="404">
        <v>2.5</v>
      </c>
      <c r="D80" s="404">
        <v>2</v>
      </c>
      <c r="E80" s="404">
        <v>1.5</v>
      </c>
      <c r="F80" s="404">
        <v>1</v>
      </c>
      <c r="G80" s="404" t="s">
        <v>1051</v>
      </c>
      <c r="H80" s="404" t="s">
        <v>1051</v>
      </c>
      <c r="I80" s="30" t="str">
        <f t="shared" si="2"/>
        <v>Cond4</v>
      </c>
    </row>
    <row r="81" spans="1:9" ht="14.25" x14ac:dyDescent="0.2">
      <c r="A81" s="68" t="str">
        <f>'G-1 All Habitats'!B79</f>
        <v>Urban - Vegetated garden</v>
      </c>
      <c r="B81" s="404" t="s">
        <v>1051</v>
      </c>
      <c r="C81" s="404" t="s">
        <v>1051</v>
      </c>
      <c r="D81" s="404" t="s">
        <v>1051</v>
      </c>
      <c r="E81" s="404" t="s">
        <v>1051</v>
      </c>
      <c r="F81" s="404" t="s">
        <v>1051</v>
      </c>
      <c r="G81" s="404">
        <v>1</v>
      </c>
      <c r="H81" s="404" t="s">
        <v>1051</v>
      </c>
      <c r="I81" s="30" t="str">
        <f t="shared" si="2"/>
        <v>Cond1</v>
      </c>
    </row>
    <row r="82" spans="1:9" ht="14.25" x14ac:dyDescent="0.2">
      <c r="A82" s="68" t="str">
        <f>'G-1 All Habitats'!B82</f>
        <v>Wetland - Blanket bog</v>
      </c>
      <c r="B82" s="404">
        <v>3</v>
      </c>
      <c r="C82" s="404">
        <v>2.5</v>
      </c>
      <c r="D82" s="404">
        <v>2</v>
      </c>
      <c r="E82" s="404">
        <v>1.5</v>
      </c>
      <c r="F82" s="404">
        <v>1</v>
      </c>
      <c r="G82" s="404" t="s">
        <v>1051</v>
      </c>
      <c r="H82" s="404" t="s">
        <v>1051</v>
      </c>
      <c r="I82" s="30" t="str">
        <f t="shared" si="2"/>
        <v>Cond4</v>
      </c>
    </row>
    <row r="83" spans="1:9" ht="14.25" x14ac:dyDescent="0.2">
      <c r="A83" s="68" t="str">
        <f>'G-1 All Habitats'!B83</f>
        <v>Wetland - Depressions on peat substrates (H7150)</v>
      </c>
      <c r="B83" s="404">
        <v>3</v>
      </c>
      <c r="C83" s="404">
        <v>2.5</v>
      </c>
      <c r="D83" s="404">
        <v>2</v>
      </c>
      <c r="E83" s="404">
        <v>1.5</v>
      </c>
      <c r="F83" s="404">
        <v>1</v>
      </c>
      <c r="G83" s="404" t="s">
        <v>1051</v>
      </c>
      <c r="H83" s="404" t="s">
        <v>1051</v>
      </c>
      <c r="I83" s="30" t="str">
        <f t="shared" si="2"/>
        <v>Cond4</v>
      </c>
    </row>
    <row r="84" spans="1:9" ht="14.25" x14ac:dyDescent="0.2">
      <c r="A84" s="68" t="str">
        <f>'G-1 All Habitats'!B84</f>
        <v>Wetland - Fens (upland and lowland)</v>
      </c>
      <c r="B84" s="404">
        <v>3</v>
      </c>
      <c r="C84" s="404">
        <v>2.5</v>
      </c>
      <c r="D84" s="404">
        <v>2</v>
      </c>
      <c r="E84" s="404">
        <v>1.5</v>
      </c>
      <c r="F84" s="404">
        <v>1</v>
      </c>
      <c r="G84" s="404" t="s">
        <v>1051</v>
      </c>
      <c r="H84" s="404" t="s">
        <v>1051</v>
      </c>
      <c r="I84" s="30" t="str">
        <f t="shared" si="2"/>
        <v>Cond4</v>
      </c>
    </row>
    <row r="85" spans="1:9" ht="14.25" x14ac:dyDescent="0.2">
      <c r="A85" s="68" t="str">
        <f>'G-1 All Habitats'!B85</f>
        <v>Wetland - Lowland raised bog</v>
      </c>
      <c r="B85" s="404">
        <v>3</v>
      </c>
      <c r="C85" s="404">
        <v>2.5</v>
      </c>
      <c r="D85" s="404">
        <v>2</v>
      </c>
      <c r="E85" s="404">
        <v>1.5</v>
      </c>
      <c r="F85" s="404">
        <v>1</v>
      </c>
      <c r="G85" s="404" t="s">
        <v>1051</v>
      </c>
      <c r="H85" s="404" t="s">
        <v>1051</v>
      </c>
      <c r="I85" s="30" t="str">
        <f t="shared" si="2"/>
        <v>Cond4</v>
      </c>
    </row>
    <row r="86" spans="1:9" ht="14.25" x14ac:dyDescent="0.2">
      <c r="A86" s="68" t="str">
        <f>'G-1 All Habitats'!B86</f>
        <v>Wetland - Oceanic valley mire[1] (D2.1)</v>
      </c>
      <c r="B86" s="404">
        <v>3</v>
      </c>
      <c r="C86" s="404">
        <v>2.5</v>
      </c>
      <c r="D86" s="404">
        <v>2</v>
      </c>
      <c r="E86" s="404">
        <v>1.5</v>
      </c>
      <c r="F86" s="404">
        <v>1</v>
      </c>
      <c r="G86" s="404" t="s">
        <v>1051</v>
      </c>
      <c r="H86" s="404" t="s">
        <v>1051</v>
      </c>
      <c r="I86" s="30" t="str">
        <f t="shared" si="2"/>
        <v>Cond4</v>
      </c>
    </row>
    <row r="87" spans="1:9" ht="14.25" x14ac:dyDescent="0.2">
      <c r="A87" s="68" t="str">
        <f>'G-1 All Habitats'!B87</f>
        <v>Wetland - Purple moor grass and rush pastures</v>
      </c>
      <c r="B87" s="404">
        <v>3</v>
      </c>
      <c r="C87" s="404">
        <v>2.5</v>
      </c>
      <c r="D87" s="404">
        <v>2</v>
      </c>
      <c r="E87" s="404">
        <v>1.5</v>
      </c>
      <c r="F87" s="404">
        <v>1</v>
      </c>
      <c r="G87" s="404" t="s">
        <v>1051</v>
      </c>
      <c r="H87" s="404" t="s">
        <v>1051</v>
      </c>
      <c r="I87" s="30" t="str">
        <f t="shared" si="2"/>
        <v>Cond4</v>
      </c>
    </row>
    <row r="88" spans="1:9" ht="14.25" x14ac:dyDescent="0.2">
      <c r="A88" s="68" t="str">
        <f>'G-1 All Habitats'!B88</f>
        <v>Wetland - Reedbeds</v>
      </c>
      <c r="B88" s="404">
        <v>3</v>
      </c>
      <c r="C88" s="404">
        <v>2.5</v>
      </c>
      <c r="D88" s="404">
        <v>2</v>
      </c>
      <c r="E88" s="404">
        <v>1.5</v>
      </c>
      <c r="F88" s="404">
        <v>1</v>
      </c>
      <c r="G88" s="404" t="s">
        <v>1051</v>
      </c>
      <c r="H88" s="404" t="s">
        <v>1051</v>
      </c>
      <c r="I88" s="30" t="str">
        <f t="shared" si="2"/>
        <v>Cond4</v>
      </c>
    </row>
    <row r="89" spans="1:9" ht="14.25" x14ac:dyDescent="0.2">
      <c r="A89" s="68" t="str">
        <f>'G-1 All Habitats'!B89</f>
        <v>Wetland - Transition mires and quaking bogs (H7140)</v>
      </c>
      <c r="B89" s="404">
        <v>3</v>
      </c>
      <c r="C89" s="404">
        <v>2.5</v>
      </c>
      <c r="D89" s="404">
        <v>2</v>
      </c>
      <c r="E89" s="404">
        <v>1.5</v>
      </c>
      <c r="F89" s="404">
        <v>1</v>
      </c>
      <c r="G89" s="404" t="s">
        <v>1051</v>
      </c>
      <c r="H89" s="404" t="s">
        <v>1051</v>
      </c>
      <c r="I89" s="30" t="str">
        <f t="shared" si="2"/>
        <v>Cond4</v>
      </c>
    </row>
    <row r="90" spans="1:9" ht="14.25" x14ac:dyDescent="0.2">
      <c r="A90" s="68" t="str">
        <f>'G-1 All Habitats'!B90</f>
        <v>Woodland and forest - Felled</v>
      </c>
      <c r="B90" s="404">
        <v>3</v>
      </c>
      <c r="C90" s="404" t="s">
        <v>1051</v>
      </c>
      <c r="D90" s="404" t="s">
        <v>1051</v>
      </c>
      <c r="E90" s="404" t="s">
        <v>1051</v>
      </c>
      <c r="F90" s="404" t="s">
        <v>1051</v>
      </c>
      <c r="G90" s="404" t="s">
        <v>1051</v>
      </c>
      <c r="H90" s="404" t="s">
        <v>1051</v>
      </c>
      <c r="I90" s="30" t="s">
        <v>1159</v>
      </c>
    </row>
    <row r="91" spans="1:9" ht="14.25" x14ac:dyDescent="0.2">
      <c r="A91" s="68" t="str">
        <f>'G-1 All Habitats'!B91</f>
        <v>Woodland and forest - Lowland beech and yew woodland</v>
      </c>
      <c r="B91" s="404">
        <v>3</v>
      </c>
      <c r="C91" s="404">
        <v>2.5</v>
      </c>
      <c r="D91" s="404">
        <v>2</v>
      </c>
      <c r="E91" s="404">
        <v>1.5</v>
      </c>
      <c r="F91" s="404">
        <v>1</v>
      </c>
      <c r="G91" s="404" t="s">
        <v>1051</v>
      </c>
      <c r="H91" s="404" t="s">
        <v>1051</v>
      </c>
      <c r="I91" s="30" t="str">
        <f t="shared" ref="I91:I135" si="3">IF(G91=1,"Cond1",IF(H91=0,"Cond2",IF(AND(B91=3,C91=2.5,D91=2,E91=1.5,F91=1),"Cond4",IF(F91=1,"Cond3","Check"))))</f>
        <v>Cond4</v>
      </c>
    </row>
    <row r="92" spans="1:9" ht="14.25" x14ac:dyDescent="0.2">
      <c r="A92" s="68" t="str">
        <f>'G-1 All Habitats'!B92</f>
        <v>Woodland and forest - Lowland mixed deciduous woodland</v>
      </c>
      <c r="B92" s="404">
        <v>3</v>
      </c>
      <c r="C92" s="404">
        <v>2.5</v>
      </c>
      <c r="D92" s="404">
        <v>2</v>
      </c>
      <c r="E92" s="404">
        <v>1.5</v>
      </c>
      <c r="F92" s="404">
        <v>1</v>
      </c>
      <c r="G92" s="404" t="s">
        <v>1051</v>
      </c>
      <c r="H92" s="404" t="s">
        <v>1051</v>
      </c>
      <c r="I92" s="30" t="str">
        <f t="shared" si="3"/>
        <v>Cond4</v>
      </c>
    </row>
    <row r="93" spans="1:9" ht="14.25" x14ac:dyDescent="0.2">
      <c r="A93" s="68" t="str">
        <f>'G-1 All Habitats'!B93</f>
        <v>Woodland and forest - Native pine woodlands</v>
      </c>
      <c r="B93" s="404">
        <v>3</v>
      </c>
      <c r="C93" s="404">
        <v>2.5</v>
      </c>
      <c r="D93" s="404">
        <v>2</v>
      </c>
      <c r="E93" s="404">
        <v>1.5</v>
      </c>
      <c r="F93" s="404">
        <v>1</v>
      </c>
      <c r="G93" s="404" t="s">
        <v>1051</v>
      </c>
      <c r="H93" s="404" t="s">
        <v>1051</v>
      </c>
      <c r="I93" s="30" t="str">
        <f t="shared" si="3"/>
        <v>Cond4</v>
      </c>
    </row>
    <row r="94" spans="1:9" ht="14.25" x14ac:dyDescent="0.2">
      <c r="A94" s="68" t="str">
        <f>'G-1 All Habitats'!B94</f>
        <v>Woodland and forest - Other coniferous woodland</v>
      </c>
      <c r="B94" s="404">
        <v>3</v>
      </c>
      <c r="C94" s="404">
        <v>2.5</v>
      </c>
      <c r="D94" s="404">
        <v>2</v>
      </c>
      <c r="E94" s="404">
        <v>1.5</v>
      </c>
      <c r="F94" s="404">
        <v>1</v>
      </c>
      <c r="G94" s="404" t="s">
        <v>1051</v>
      </c>
      <c r="H94" s="404" t="s">
        <v>1051</v>
      </c>
      <c r="I94" s="30" t="str">
        <f t="shared" si="3"/>
        <v>Cond4</v>
      </c>
    </row>
    <row r="95" spans="1:9" ht="14.25" x14ac:dyDescent="0.2">
      <c r="A95" s="68" t="str">
        <f>'G-1 All Habitats'!B95</f>
        <v>Woodland and forest - Other Scot's pine woodland</v>
      </c>
      <c r="B95" s="404">
        <v>3</v>
      </c>
      <c r="C95" s="404">
        <v>2.5</v>
      </c>
      <c r="D95" s="404">
        <v>2</v>
      </c>
      <c r="E95" s="404">
        <v>1.5</v>
      </c>
      <c r="F95" s="404">
        <v>1</v>
      </c>
      <c r="G95" s="404" t="s">
        <v>1051</v>
      </c>
      <c r="H95" s="404" t="s">
        <v>1051</v>
      </c>
      <c r="I95" s="30" t="str">
        <f t="shared" si="3"/>
        <v>Cond4</v>
      </c>
    </row>
    <row r="96" spans="1:9" ht="14.25" x14ac:dyDescent="0.2">
      <c r="A96" s="68" t="str">
        <f>'G-1 All Habitats'!B96</f>
        <v>Woodland and forest - Other woodland; broadleaved</v>
      </c>
      <c r="B96" s="404">
        <v>3</v>
      </c>
      <c r="C96" s="404">
        <v>2.5</v>
      </c>
      <c r="D96" s="404">
        <v>2</v>
      </c>
      <c r="E96" s="404">
        <v>1.5</v>
      </c>
      <c r="F96" s="404">
        <v>1</v>
      </c>
      <c r="G96" s="404" t="s">
        <v>1051</v>
      </c>
      <c r="H96" s="404" t="s">
        <v>1051</v>
      </c>
      <c r="I96" s="30" t="str">
        <f t="shared" si="3"/>
        <v>Cond4</v>
      </c>
    </row>
    <row r="97" spans="1:9" ht="14.25" x14ac:dyDescent="0.2">
      <c r="A97" s="68" t="str">
        <f>'G-1 All Habitats'!B97</f>
        <v>Woodland and forest - Other woodland; mixed</v>
      </c>
      <c r="B97" s="404">
        <v>3</v>
      </c>
      <c r="C97" s="404">
        <v>2.5</v>
      </c>
      <c r="D97" s="404">
        <v>2</v>
      </c>
      <c r="E97" s="404">
        <v>1.5</v>
      </c>
      <c r="F97" s="404">
        <v>1</v>
      </c>
      <c r="G97" s="404" t="s">
        <v>1051</v>
      </c>
      <c r="H97" s="404" t="s">
        <v>1051</v>
      </c>
      <c r="I97" s="30" t="str">
        <f t="shared" si="3"/>
        <v>Cond4</v>
      </c>
    </row>
    <row r="98" spans="1:9" ht="14.25" x14ac:dyDescent="0.2">
      <c r="A98" s="68" t="str">
        <f>'G-1 All Habitats'!B98</f>
        <v>Woodland and forest - Upland birchwoods</v>
      </c>
      <c r="B98" s="404">
        <v>3</v>
      </c>
      <c r="C98" s="404">
        <v>2.5</v>
      </c>
      <c r="D98" s="404">
        <v>2</v>
      </c>
      <c r="E98" s="404">
        <v>1.5</v>
      </c>
      <c r="F98" s="404">
        <v>1</v>
      </c>
      <c r="G98" s="404" t="s">
        <v>1051</v>
      </c>
      <c r="H98" s="404" t="s">
        <v>1051</v>
      </c>
      <c r="I98" s="30" t="str">
        <f t="shared" si="3"/>
        <v>Cond4</v>
      </c>
    </row>
    <row r="99" spans="1:9" ht="14.25" x14ac:dyDescent="0.2">
      <c r="A99" s="68" t="str">
        <f>'G-1 All Habitats'!B99</f>
        <v>Woodland and forest - Upland mixed ashwoods</v>
      </c>
      <c r="B99" s="404">
        <v>3</v>
      </c>
      <c r="C99" s="404">
        <v>2.5</v>
      </c>
      <c r="D99" s="404">
        <v>2</v>
      </c>
      <c r="E99" s="404">
        <v>1.5</v>
      </c>
      <c r="F99" s="404">
        <v>1</v>
      </c>
      <c r="G99" s="404" t="s">
        <v>1051</v>
      </c>
      <c r="H99" s="404" t="s">
        <v>1051</v>
      </c>
      <c r="I99" s="30" t="str">
        <f t="shared" si="3"/>
        <v>Cond4</v>
      </c>
    </row>
    <row r="100" spans="1:9" ht="14.25" x14ac:dyDescent="0.2">
      <c r="A100" s="68" t="str">
        <f>'G-1 All Habitats'!B100</f>
        <v>Woodland and forest - Upland oakwood</v>
      </c>
      <c r="B100" s="404">
        <v>3</v>
      </c>
      <c r="C100" s="404">
        <v>2.5</v>
      </c>
      <c r="D100" s="404">
        <v>2</v>
      </c>
      <c r="E100" s="404">
        <v>1.5</v>
      </c>
      <c r="F100" s="404">
        <v>1</v>
      </c>
      <c r="G100" s="404" t="s">
        <v>1051</v>
      </c>
      <c r="H100" s="404" t="s">
        <v>1051</v>
      </c>
      <c r="I100" s="30" t="str">
        <f t="shared" si="3"/>
        <v>Cond4</v>
      </c>
    </row>
    <row r="101" spans="1:9" ht="14.25" x14ac:dyDescent="0.2">
      <c r="A101" s="68" t="str">
        <f>'G-1 All Habitats'!B101</f>
        <v>Woodland and forest - Wet woodland</v>
      </c>
      <c r="B101" s="404">
        <v>3</v>
      </c>
      <c r="C101" s="404">
        <v>2.5</v>
      </c>
      <c r="D101" s="404">
        <v>2</v>
      </c>
      <c r="E101" s="404">
        <v>1.5</v>
      </c>
      <c r="F101" s="404">
        <v>1</v>
      </c>
      <c r="G101" s="404" t="s">
        <v>1051</v>
      </c>
      <c r="H101" s="404" t="s">
        <v>1051</v>
      </c>
      <c r="I101" s="30" t="str">
        <f t="shared" si="3"/>
        <v>Cond4</v>
      </c>
    </row>
    <row r="102" spans="1:9" ht="14.25" x14ac:dyDescent="0.2">
      <c r="A102" s="68" t="str">
        <f>'G-1 All Habitats'!B102</f>
        <v>Woodland and forest - Wood-pasture and parkland</v>
      </c>
      <c r="B102" s="404">
        <v>3</v>
      </c>
      <c r="C102" s="404">
        <v>2.5</v>
      </c>
      <c r="D102" s="404">
        <v>2</v>
      </c>
      <c r="E102" s="404">
        <v>1.5</v>
      </c>
      <c r="F102" s="404">
        <v>1</v>
      </c>
      <c r="G102" s="404" t="s">
        <v>1051</v>
      </c>
      <c r="H102" s="404" t="s">
        <v>1051</v>
      </c>
      <c r="I102" s="30" t="str">
        <f t="shared" si="3"/>
        <v>Cond4</v>
      </c>
    </row>
    <row r="103" spans="1:9" ht="14.25" x14ac:dyDescent="0.2">
      <c r="A103" s="68" t="str">
        <f>'G-1 All Habitats'!B103</f>
        <v>Coastal lagoons - Coastal lagoons</v>
      </c>
      <c r="B103" s="404">
        <v>3</v>
      </c>
      <c r="C103" s="404">
        <v>2.5</v>
      </c>
      <c r="D103" s="404">
        <v>2</v>
      </c>
      <c r="E103" s="404">
        <v>1.5</v>
      </c>
      <c r="F103" s="404">
        <v>1</v>
      </c>
      <c r="G103" s="404" t="s">
        <v>1051</v>
      </c>
      <c r="H103" s="404" t="s">
        <v>1051</v>
      </c>
      <c r="I103" s="30" t="str">
        <f t="shared" si="3"/>
        <v>Cond4</v>
      </c>
    </row>
    <row r="104" spans="1:9" ht="14.25" x14ac:dyDescent="0.2">
      <c r="A104" s="68" t="str">
        <f>'G-1 All Habitats'!B104</f>
        <v>Rocky shore - High energy littoral rock</v>
      </c>
      <c r="B104" s="404">
        <v>3</v>
      </c>
      <c r="C104" s="404">
        <v>2.5</v>
      </c>
      <c r="D104" s="404">
        <v>2</v>
      </c>
      <c r="E104" s="404">
        <v>1.5</v>
      </c>
      <c r="F104" s="404">
        <v>1</v>
      </c>
      <c r="G104" s="404" t="s">
        <v>1051</v>
      </c>
      <c r="H104" s="404" t="s">
        <v>1051</v>
      </c>
      <c r="I104" s="30" t="str">
        <f t="shared" si="3"/>
        <v>Cond4</v>
      </c>
    </row>
    <row r="105" spans="1:9" ht="14.25" x14ac:dyDescent="0.2">
      <c r="A105" s="68" t="str">
        <f>'G-1 All Habitats'!B105</f>
        <v>Rocky shore - High energy littoral rock - on peat, clay or chalk</v>
      </c>
      <c r="B105" s="404">
        <v>3</v>
      </c>
      <c r="C105" s="404">
        <v>2.5</v>
      </c>
      <c r="D105" s="404">
        <v>2</v>
      </c>
      <c r="E105" s="404">
        <v>1.5</v>
      </c>
      <c r="F105" s="404">
        <v>1</v>
      </c>
      <c r="G105" s="404" t="s">
        <v>1051</v>
      </c>
      <c r="H105" s="404" t="s">
        <v>1051</v>
      </c>
      <c r="I105" s="30" t="str">
        <f t="shared" si="3"/>
        <v>Cond4</v>
      </c>
    </row>
    <row r="106" spans="1:9" ht="14.25" x14ac:dyDescent="0.2">
      <c r="A106" s="68" t="str">
        <f>'G-1 All Habitats'!B106</f>
        <v>Rocky shore - Moderate energy littoral rock</v>
      </c>
      <c r="B106" s="404">
        <v>3</v>
      </c>
      <c r="C106" s="404">
        <v>2.5</v>
      </c>
      <c r="D106" s="404">
        <v>2</v>
      </c>
      <c r="E106" s="404">
        <v>1.5</v>
      </c>
      <c r="F106" s="404">
        <v>1</v>
      </c>
      <c r="G106" s="404" t="s">
        <v>1051</v>
      </c>
      <c r="H106" s="404" t="s">
        <v>1051</v>
      </c>
      <c r="I106" s="30" t="str">
        <f t="shared" si="3"/>
        <v>Cond4</v>
      </c>
    </row>
    <row r="107" spans="1:9" ht="14.25" x14ac:dyDescent="0.2">
      <c r="A107" s="68" t="str">
        <f>'G-1 All Habitats'!B107</f>
        <v>Rocky shore - Moderate energy littoral rock - on peat, clay or chalk</v>
      </c>
      <c r="B107" s="404">
        <v>3</v>
      </c>
      <c r="C107" s="404">
        <v>2.5</v>
      </c>
      <c r="D107" s="404">
        <v>2</v>
      </c>
      <c r="E107" s="404">
        <v>1.5</v>
      </c>
      <c r="F107" s="404">
        <v>1</v>
      </c>
      <c r="G107" s="404" t="s">
        <v>1051</v>
      </c>
      <c r="H107" s="404" t="s">
        <v>1051</v>
      </c>
      <c r="I107" s="30" t="str">
        <f t="shared" si="3"/>
        <v>Cond4</v>
      </c>
    </row>
    <row r="108" spans="1:9" ht="14.25" x14ac:dyDescent="0.2">
      <c r="A108" s="68" t="str">
        <f>'G-1 All Habitats'!B108</f>
        <v>Rocky shore - Low energy littoral rock</v>
      </c>
      <c r="B108" s="404">
        <v>3</v>
      </c>
      <c r="C108" s="404">
        <v>2.5</v>
      </c>
      <c r="D108" s="404">
        <v>2</v>
      </c>
      <c r="E108" s="404">
        <v>1.5</v>
      </c>
      <c r="F108" s="404">
        <v>1</v>
      </c>
      <c r="G108" s="404" t="s">
        <v>1051</v>
      </c>
      <c r="H108" s="404" t="s">
        <v>1051</v>
      </c>
      <c r="I108" s="30" t="str">
        <f t="shared" si="3"/>
        <v>Cond4</v>
      </c>
    </row>
    <row r="109" spans="1:9" ht="14.25" x14ac:dyDescent="0.2">
      <c r="A109" s="68" t="str">
        <f>'G-1 All Habitats'!B109</f>
        <v>Rocky shore - Low energy littoral rock - on peat, clay or chalk</v>
      </c>
      <c r="B109" s="404">
        <v>3</v>
      </c>
      <c r="C109" s="404">
        <v>2.5</v>
      </c>
      <c r="D109" s="404">
        <v>2</v>
      </c>
      <c r="E109" s="404">
        <v>1.5</v>
      </c>
      <c r="F109" s="404">
        <v>1</v>
      </c>
      <c r="G109" s="404" t="s">
        <v>1051</v>
      </c>
      <c r="H109" s="404" t="s">
        <v>1051</v>
      </c>
      <c r="I109" s="30" t="str">
        <f t="shared" si="3"/>
        <v>Cond4</v>
      </c>
    </row>
    <row r="110" spans="1:9" ht="14.25" x14ac:dyDescent="0.2">
      <c r="A110" s="68" t="str">
        <f>'G-1 All Habitats'!B110</f>
        <v>Rocky shore - Features of littoral rock</v>
      </c>
      <c r="B110" s="404">
        <v>3</v>
      </c>
      <c r="C110" s="404">
        <v>2.5</v>
      </c>
      <c r="D110" s="404">
        <v>2</v>
      </c>
      <c r="E110" s="404">
        <v>1.5</v>
      </c>
      <c r="F110" s="404">
        <v>1</v>
      </c>
      <c r="G110" s="404" t="s">
        <v>1051</v>
      </c>
      <c r="H110" s="404" t="s">
        <v>1051</v>
      </c>
      <c r="I110" s="30" t="str">
        <f t="shared" si="3"/>
        <v>Cond4</v>
      </c>
    </row>
    <row r="111" spans="1:9" ht="14.25" x14ac:dyDescent="0.2">
      <c r="A111" s="68" t="str">
        <f>'G-1 All Habitats'!B111</f>
        <v>Rocky shore - Features of littoral rock - on peat, clay or chalk</v>
      </c>
      <c r="B111" s="404">
        <v>3</v>
      </c>
      <c r="C111" s="404">
        <v>2.5</v>
      </c>
      <c r="D111" s="404">
        <v>2</v>
      </c>
      <c r="E111" s="404">
        <v>1.5</v>
      </c>
      <c r="F111" s="404">
        <v>1</v>
      </c>
      <c r="G111" s="404" t="s">
        <v>1051</v>
      </c>
      <c r="H111" s="404" t="s">
        <v>1051</v>
      </c>
      <c r="I111" s="30" t="str">
        <f t="shared" si="3"/>
        <v>Cond4</v>
      </c>
    </row>
    <row r="112" spans="1:9" ht="14.25" x14ac:dyDescent="0.2">
      <c r="A112" s="68" t="str">
        <f>'G-1 All Habitats'!B114</f>
        <v>Intertidal sediment - Littoral coarse sediment</v>
      </c>
      <c r="B112" s="404">
        <v>3</v>
      </c>
      <c r="C112" s="404">
        <v>2.5</v>
      </c>
      <c r="D112" s="404">
        <v>2</v>
      </c>
      <c r="E112" s="404">
        <v>1.5</v>
      </c>
      <c r="F112" s="404">
        <v>1</v>
      </c>
      <c r="G112" s="404" t="s">
        <v>1051</v>
      </c>
      <c r="H112" s="404" t="s">
        <v>1051</v>
      </c>
      <c r="I112" s="30" t="str">
        <f t="shared" si="3"/>
        <v>Cond4</v>
      </c>
    </row>
    <row r="113" spans="1:9" ht="14.25" x14ac:dyDescent="0.2">
      <c r="A113" s="68" t="str">
        <f>'G-1 All Habitats'!B115</f>
        <v>Intertidal sediment - Littoral mud</v>
      </c>
      <c r="B113" s="404">
        <v>3</v>
      </c>
      <c r="C113" s="404">
        <v>2.5</v>
      </c>
      <c r="D113" s="404">
        <v>2</v>
      </c>
      <c r="E113" s="404">
        <v>1.5</v>
      </c>
      <c r="F113" s="404">
        <v>1</v>
      </c>
      <c r="G113" s="404" t="s">
        <v>1051</v>
      </c>
      <c r="H113" s="404" t="s">
        <v>1051</v>
      </c>
      <c r="I113" s="30" t="str">
        <f t="shared" si="3"/>
        <v>Cond4</v>
      </c>
    </row>
    <row r="114" spans="1:9" ht="14.25" x14ac:dyDescent="0.2">
      <c r="A114" s="68" t="str">
        <f>'G-1 All Habitats'!B116</f>
        <v>Intertidal sediment - Littoral mixed sediments</v>
      </c>
      <c r="B114" s="404">
        <v>3</v>
      </c>
      <c r="C114" s="404">
        <v>2.5</v>
      </c>
      <c r="D114" s="404">
        <v>2</v>
      </c>
      <c r="E114" s="404">
        <v>1.5</v>
      </c>
      <c r="F114" s="404">
        <v>1</v>
      </c>
      <c r="G114" s="404" t="s">
        <v>1051</v>
      </c>
      <c r="H114" s="404" t="s">
        <v>1051</v>
      </c>
      <c r="I114" s="30" t="str">
        <f t="shared" si="3"/>
        <v>Cond4</v>
      </c>
    </row>
    <row r="115" spans="1:9" ht="14.25" x14ac:dyDescent="0.2">
      <c r="A115" s="68" t="str">
        <f>'G-1 All Habitats'!B112</f>
        <v>Coastal saltmarsh - Saltmarshes and saline reedbeds</v>
      </c>
      <c r="B115" s="404">
        <v>3</v>
      </c>
      <c r="C115" s="404">
        <v>2.5</v>
      </c>
      <c r="D115" s="404">
        <v>2</v>
      </c>
      <c r="E115" s="404">
        <v>1.5</v>
      </c>
      <c r="F115" s="404">
        <v>1</v>
      </c>
      <c r="G115" s="404" t="s">
        <v>1051</v>
      </c>
      <c r="H115" s="404" t="s">
        <v>1051</v>
      </c>
      <c r="I115" s="30" t="str">
        <f t="shared" si="3"/>
        <v>Cond4</v>
      </c>
    </row>
    <row r="116" spans="1:9" ht="14.25" x14ac:dyDescent="0.2">
      <c r="A116" s="68" t="str">
        <f>'G-1 All Habitats'!B113</f>
        <v>Coastal saltmarsh - Artificial saltmarshes and saline reedbeds</v>
      </c>
      <c r="B116" s="404">
        <v>3</v>
      </c>
      <c r="C116" s="404">
        <v>2.5</v>
      </c>
      <c r="D116" s="404">
        <v>2</v>
      </c>
      <c r="E116" s="404">
        <v>1.5</v>
      </c>
      <c r="F116" s="404">
        <v>1</v>
      </c>
      <c r="G116" s="404" t="s">
        <v>1051</v>
      </c>
      <c r="H116" s="404" t="s">
        <v>1051</v>
      </c>
      <c r="I116" s="30" t="str">
        <f t="shared" si="3"/>
        <v>Cond4</v>
      </c>
    </row>
    <row r="117" spans="1:9" ht="14.25" x14ac:dyDescent="0.2">
      <c r="A117" s="68" t="str">
        <f>'G-1 All Habitats'!B117</f>
        <v>Intertidal sediment - Littoral seagrass</v>
      </c>
      <c r="B117" s="404">
        <v>3</v>
      </c>
      <c r="C117" s="404">
        <v>2.5</v>
      </c>
      <c r="D117" s="404">
        <v>2</v>
      </c>
      <c r="E117" s="404">
        <v>1.5</v>
      </c>
      <c r="F117" s="404">
        <v>1</v>
      </c>
      <c r="G117" s="404" t="s">
        <v>1051</v>
      </c>
      <c r="H117" s="404" t="s">
        <v>1051</v>
      </c>
      <c r="I117" s="30" t="str">
        <f t="shared" si="3"/>
        <v>Cond4</v>
      </c>
    </row>
    <row r="118" spans="1:9" ht="14.25" x14ac:dyDescent="0.2">
      <c r="A118" s="68" t="str">
        <f>'G-1 All Habitats'!B118</f>
        <v>Intertidal sediment - Littoral seagrass on peat, clay or chalk</v>
      </c>
      <c r="B118" s="404">
        <v>3</v>
      </c>
      <c r="C118" s="404">
        <v>2.5</v>
      </c>
      <c r="D118" s="404">
        <v>2</v>
      </c>
      <c r="E118" s="404">
        <v>1.5</v>
      </c>
      <c r="F118" s="404">
        <v>1</v>
      </c>
      <c r="G118" s="404" t="s">
        <v>1051</v>
      </c>
      <c r="H118" s="404" t="s">
        <v>1051</v>
      </c>
      <c r="I118" s="30" t="str">
        <f t="shared" si="3"/>
        <v>Cond4</v>
      </c>
    </row>
    <row r="119" spans="1:9" ht="14.25" x14ac:dyDescent="0.2">
      <c r="A119" s="68" t="str">
        <f>'G-1 All Habitats'!B119</f>
        <v>Intertidal sediment - Littoral biogenic reefs - Mussels</v>
      </c>
      <c r="B119" s="404">
        <v>3</v>
      </c>
      <c r="C119" s="404">
        <v>2.5</v>
      </c>
      <c r="D119" s="404">
        <v>2</v>
      </c>
      <c r="E119" s="404">
        <v>1.5</v>
      </c>
      <c r="F119" s="404">
        <v>1</v>
      </c>
      <c r="G119" s="404" t="s">
        <v>1051</v>
      </c>
      <c r="H119" s="404" t="s">
        <v>1051</v>
      </c>
      <c r="I119" s="30" t="str">
        <f t="shared" si="3"/>
        <v>Cond4</v>
      </c>
    </row>
    <row r="120" spans="1:9" ht="14.25" x14ac:dyDescent="0.2">
      <c r="A120" s="68" t="str">
        <f>'G-1 All Habitats'!B120</f>
        <v>Intertidal sediment - Littoral biogenic reefs - Sabellaria</v>
      </c>
      <c r="B120" s="404">
        <v>3</v>
      </c>
      <c r="C120" s="404">
        <v>2.5</v>
      </c>
      <c r="D120" s="404">
        <v>2</v>
      </c>
      <c r="E120" s="404">
        <v>1.5</v>
      </c>
      <c r="F120" s="404">
        <v>1</v>
      </c>
      <c r="G120" s="404" t="s">
        <v>1051</v>
      </c>
      <c r="H120" s="404" t="s">
        <v>1051</v>
      </c>
      <c r="I120" s="30" t="str">
        <f t="shared" si="3"/>
        <v>Cond4</v>
      </c>
    </row>
    <row r="121" spans="1:9" ht="14.25" x14ac:dyDescent="0.2">
      <c r="A121" s="68" t="str">
        <f>'G-1 All Habitats'!B121</f>
        <v>Intertidal sediment - Features of littoral sediment</v>
      </c>
      <c r="B121" s="404">
        <v>3</v>
      </c>
      <c r="C121" s="404">
        <v>2.5</v>
      </c>
      <c r="D121" s="404">
        <v>2</v>
      </c>
      <c r="E121" s="404">
        <v>1.5</v>
      </c>
      <c r="F121" s="404">
        <v>1</v>
      </c>
      <c r="G121" s="404" t="s">
        <v>1051</v>
      </c>
      <c r="H121" s="404" t="s">
        <v>1051</v>
      </c>
      <c r="I121" s="30" t="str">
        <f t="shared" si="3"/>
        <v>Cond4</v>
      </c>
    </row>
    <row r="122" spans="1:9" ht="14.25" x14ac:dyDescent="0.2">
      <c r="A122" s="68" t="str">
        <f>'G-1 All Habitats'!B122</f>
        <v>Intertidal sediment - Artificial littoral coarse sediment</v>
      </c>
      <c r="B122" s="404">
        <v>3</v>
      </c>
      <c r="C122" s="404">
        <v>2.5</v>
      </c>
      <c r="D122" s="404">
        <v>2</v>
      </c>
      <c r="E122" s="404">
        <v>1.5</v>
      </c>
      <c r="F122" s="404">
        <v>1</v>
      </c>
      <c r="G122" s="404" t="s">
        <v>1051</v>
      </c>
      <c r="H122" s="404" t="s">
        <v>1051</v>
      </c>
      <c r="I122" s="30" t="str">
        <f t="shared" si="3"/>
        <v>Cond4</v>
      </c>
    </row>
    <row r="123" spans="1:9" ht="14.25" x14ac:dyDescent="0.2">
      <c r="A123" s="68" t="str">
        <f>'G-1 All Habitats'!B123</f>
        <v>Intertidal sediment - Artificial littoral mud</v>
      </c>
      <c r="B123" s="404">
        <v>3</v>
      </c>
      <c r="C123" s="404">
        <v>2.5</v>
      </c>
      <c r="D123" s="404">
        <v>2</v>
      </c>
      <c r="E123" s="404">
        <v>1.5</v>
      </c>
      <c r="F123" s="404">
        <v>1</v>
      </c>
      <c r="G123" s="404" t="s">
        <v>1051</v>
      </c>
      <c r="H123" s="404" t="s">
        <v>1051</v>
      </c>
      <c r="I123" s="30" t="str">
        <f t="shared" si="3"/>
        <v>Cond4</v>
      </c>
    </row>
    <row r="124" spans="1:9" ht="14.25" x14ac:dyDescent="0.2">
      <c r="A124" s="68" t="str">
        <f>'G-1 All Habitats'!B124</f>
        <v>Intertidal sediment - Artificial littoral sand</v>
      </c>
      <c r="B124" s="404">
        <v>3</v>
      </c>
      <c r="C124" s="404">
        <v>2.5</v>
      </c>
      <c r="D124" s="404">
        <v>2</v>
      </c>
      <c r="E124" s="404">
        <v>1.5</v>
      </c>
      <c r="F124" s="404">
        <v>1</v>
      </c>
      <c r="G124" s="404" t="s">
        <v>1051</v>
      </c>
      <c r="H124" s="404" t="s">
        <v>1051</v>
      </c>
      <c r="I124" s="30" t="str">
        <f t="shared" si="3"/>
        <v>Cond4</v>
      </c>
    </row>
    <row r="125" spans="1:9" ht="14.25" x14ac:dyDescent="0.2">
      <c r="A125" s="68" t="str">
        <f>'G-1 All Habitats'!B125</f>
        <v>Intertidal sediment - Artificial littoral muddy sand</v>
      </c>
      <c r="B125" s="404">
        <v>3</v>
      </c>
      <c r="C125" s="404">
        <v>2.5</v>
      </c>
      <c r="D125" s="404">
        <v>2</v>
      </c>
      <c r="E125" s="404">
        <v>1.5</v>
      </c>
      <c r="F125" s="404">
        <v>1</v>
      </c>
      <c r="G125" s="404" t="s">
        <v>1051</v>
      </c>
      <c r="H125" s="404" t="s">
        <v>1051</v>
      </c>
      <c r="I125" s="30" t="str">
        <f t="shared" si="3"/>
        <v>Cond4</v>
      </c>
    </row>
    <row r="126" spans="1:9" ht="14.25" x14ac:dyDescent="0.2">
      <c r="A126" s="68" t="str">
        <f>'G-1 All Habitats'!B126</f>
        <v>Intertidal sediment - Artificial littoral mixed sediments</v>
      </c>
      <c r="B126" s="404">
        <v>3</v>
      </c>
      <c r="C126" s="404">
        <v>2.5</v>
      </c>
      <c r="D126" s="404">
        <v>2</v>
      </c>
      <c r="E126" s="404">
        <v>1.5</v>
      </c>
      <c r="F126" s="404">
        <v>1</v>
      </c>
      <c r="G126" s="404" t="s">
        <v>1051</v>
      </c>
      <c r="H126" s="404" t="s">
        <v>1051</v>
      </c>
      <c r="I126" s="30" t="str">
        <f t="shared" si="3"/>
        <v>Cond4</v>
      </c>
    </row>
    <row r="127" spans="1:9" ht="14.25" x14ac:dyDescent="0.2">
      <c r="A127" s="68" t="str">
        <f>'G-1 All Habitats'!B127</f>
        <v>Intertidal sediment - Artificial littoral seagrass</v>
      </c>
      <c r="B127" s="404">
        <v>3</v>
      </c>
      <c r="C127" s="404">
        <v>2.5</v>
      </c>
      <c r="D127" s="404">
        <v>2</v>
      </c>
      <c r="E127" s="404">
        <v>1.5</v>
      </c>
      <c r="F127" s="404">
        <v>1</v>
      </c>
      <c r="G127" s="404" t="s">
        <v>1051</v>
      </c>
      <c r="H127" s="404" t="s">
        <v>1051</v>
      </c>
      <c r="I127" s="30" t="str">
        <f t="shared" si="3"/>
        <v>Cond4</v>
      </c>
    </row>
    <row r="128" spans="1:9" ht="14.25" x14ac:dyDescent="0.2">
      <c r="A128" s="68" t="str">
        <f>'G-1 All Habitats'!B128</f>
        <v>Intertidal sediment - Artificial littoral biogenic reefs</v>
      </c>
      <c r="B128" s="404">
        <v>3</v>
      </c>
      <c r="C128" s="404">
        <v>2.5</v>
      </c>
      <c r="D128" s="404">
        <v>2</v>
      </c>
      <c r="E128" s="404">
        <v>1.5</v>
      </c>
      <c r="F128" s="404">
        <v>1</v>
      </c>
      <c r="G128" s="404" t="s">
        <v>1051</v>
      </c>
      <c r="H128" s="404" t="s">
        <v>1051</v>
      </c>
      <c r="I128" s="30" t="str">
        <f t="shared" si="3"/>
        <v>Cond4</v>
      </c>
    </row>
    <row r="129" spans="1:9" ht="14.25" x14ac:dyDescent="0.2">
      <c r="A129" s="68" t="str">
        <f>'G-1 All Habitats'!B129</f>
        <v>Intertidal sediment - Littoral sand</v>
      </c>
      <c r="B129" s="404">
        <v>3</v>
      </c>
      <c r="C129" s="404">
        <v>2.5</v>
      </c>
      <c r="D129" s="404">
        <v>2</v>
      </c>
      <c r="E129" s="404">
        <v>1.5</v>
      </c>
      <c r="F129" s="404">
        <v>1</v>
      </c>
      <c r="G129" s="404" t="s">
        <v>1051</v>
      </c>
      <c r="H129" s="404" t="s">
        <v>1051</v>
      </c>
      <c r="I129" s="30" t="str">
        <f t="shared" si="3"/>
        <v>Cond4</v>
      </c>
    </row>
    <row r="130" spans="1:9" ht="14.25" x14ac:dyDescent="0.2">
      <c r="A130" s="68" t="str">
        <f>'G-1 All Habitats'!B130</f>
        <v>Intertidal sediment - Littoral muddy sand</v>
      </c>
      <c r="B130" s="404">
        <v>3</v>
      </c>
      <c r="C130" s="404">
        <v>2.5</v>
      </c>
      <c r="D130" s="404">
        <v>2</v>
      </c>
      <c r="E130" s="404">
        <v>1.5</v>
      </c>
      <c r="F130" s="404">
        <v>1</v>
      </c>
      <c r="G130" s="404" t="s">
        <v>1051</v>
      </c>
      <c r="H130" s="404" t="s">
        <v>1051</v>
      </c>
      <c r="I130" s="30" t="str">
        <f t="shared" si="3"/>
        <v>Cond4</v>
      </c>
    </row>
    <row r="131" spans="1:9" ht="14.25" x14ac:dyDescent="0.2">
      <c r="A131" s="68" t="str">
        <f>'G-1 All Habitats'!B131</f>
        <v>Intertidal hard structures - Artificial hard structures</v>
      </c>
      <c r="B131" s="404">
        <v>3</v>
      </c>
      <c r="C131" s="404">
        <v>2.5</v>
      </c>
      <c r="D131" s="404">
        <v>2</v>
      </c>
      <c r="E131" s="404">
        <v>1.5</v>
      </c>
      <c r="F131" s="404">
        <v>1</v>
      </c>
      <c r="G131" s="404" t="s">
        <v>1051</v>
      </c>
      <c r="H131" s="404" t="s">
        <v>1051</v>
      </c>
      <c r="I131" s="30" t="str">
        <f t="shared" si="3"/>
        <v>Cond4</v>
      </c>
    </row>
    <row r="132" spans="1:9" ht="14.25" x14ac:dyDescent="0.2">
      <c r="A132" s="68" t="str">
        <f>'G-1 All Habitats'!B132</f>
        <v>Intertidal hard structures - Artificial features of hard structures</v>
      </c>
      <c r="B132" s="404">
        <v>3</v>
      </c>
      <c r="C132" s="404">
        <v>2.5</v>
      </c>
      <c r="D132" s="404">
        <v>2</v>
      </c>
      <c r="E132" s="404">
        <v>1.5</v>
      </c>
      <c r="F132" s="404">
        <v>1</v>
      </c>
      <c r="G132" s="404" t="s">
        <v>1051</v>
      </c>
      <c r="H132" s="404" t="s">
        <v>1051</v>
      </c>
      <c r="I132" s="30" t="str">
        <f t="shared" si="3"/>
        <v>Cond4</v>
      </c>
    </row>
    <row r="133" spans="1:9" ht="14.25" x14ac:dyDescent="0.2">
      <c r="A133" s="68" t="str">
        <f>'G-1 All Habitats'!B133</f>
        <v>Intertidal hard structures - Artificial hard structures with integrated greening of grey infrastructure (IGGI)</v>
      </c>
      <c r="B133" s="404">
        <v>3</v>
      </c>
      <c r="C133" s="404">
        <v>2.5</v>
      </c>
      <c r="D133" s="404">
        <v>2</v>
      </c>
      <c r="E133" s="404">
        <v>1.5</v>
      </c>
      <c r="F133" s="404">
        <v>1</v>
      </c>
      <c r="G133" s="404" t="s">
        <v>1051</v>
      </c>
      <c r="H133" s="404" t="s">
        <v>1051</v>
      </c>
      <c r="I133" s="30" t="str">
        <f t="shared" si="3"/>
        <v>Cond4</v>
      </c>
    </row>
    <row r="134" spans="1:9" ht="14.25" x14ac:dyDescent="0.2">
      <c r="A134" s="68" t="s">
        <v>929</v>
      </c>
      <c r="B134" s="404" t="s">
        <v>1051</v>
      </c>
      <c r="C134" s="404" t="s">
        <v>1051</v>
      </c>
      <c r="D134" s="404" t="s">
        <v>1051</v>
      </c>
      <c r="E134" s="404" t="s">
        <v>1051</v>
      </c>
      <c r="F134" s="404" t="s">
        <v>1051</v>
      </c>
      <c r="G134" s="404" t="s">
        <v>1051</v>
      </c>
      <c r="H134" s="404">
        <v>0</v>
      </c>
      <c r="I134" s="30" t="str">
        <f t="shared" si="3"/>
        <v>Cond2</v>
      </c>
    </row>
    <row r="135" spans="1:9" ht="14.25" x14ac:dyDescent="0.2">
      <c r="A135" s="68" t="s">
        <v>747</v>
      </c>
      <c r="B135" s="404">
        <v>3</v>
      </c>
      <c r="C135" s="404">
        <v>2.5</v>
      </c>
      <c r="D135" s="404">
        <v>2</v>
      </c>
      <c r="E135" s="404">
        <v>1.5</v>
      </c>
      <c r="F135" s="404">
        <v>1</v>
      </c>
      <c r="G135" s="404" t="s">
        <v>1051</v>
      </c>
      <c r="H135" s="404" t="s">
        <v>1051</v>
      </c>
      <c r="I135" s="30" t="str">
        <f t="shared" si="3"/>
        <v>Cond4</v>
      </c>
    </row>
    <row r="136" spans="1:9" ht="14.25"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row r="148" ht="14.45" customHeight="1" x14ac:dyDescent="0.2"/>
    <row r="149" ht="14.45" customHeight="1" x14ac:dyDescent="0.2"/>
    <row r="150" ht="14.45" customHeight="1" x14ac:dyDescent="0.2"/>
    <row r="151" ht="14.45" customHeight="1" x14ac:dyDescent="0.2"/>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5" zeroHeight="1" x14ac:dyDescent="0.25"/>
  <cols>
    <col min="1" max="1" width="9.140625" style="220" customWidth="1"/>
    <col min="2" max="2" width="44.28515625" style="220" customWidth="1"/>
    <col min="3" max="3" width="60.5703125" style="220" customWidth="1"/>
    <col min="4" max="4" width="31.85546875" style="220" customWidth="1"/>
    <col min="5" max="19" width="9.140625" style="220" customWidth="1"/>
    <col min="20" max="16384" width="9.140625" style="220" hidden="1"/>
  </cols>
  <sheetData>
    <row r="1" spans="2:4" ht="61.15" customHeight="1" thickBot="1" x14ac:dyDescent="0.3"/>
    <row r="2" spans="2:4" ht="61.15" customHeight="1" thickBot="1" x14ac:dyDescent="0.3">
      <c r="B2" s="1681" t="s">
        <v>1160</v>
      </c>
      <c r="C2" s="1682"/>
      <c r="D2" s="1683"/>
    </row>
    <row r="3" spans="2:4" ht="16.5" thickBot="1" x14ac:dyDescent="0.3">
      <c r="B3" s="694" t="s">
        <v>1161</v>
      </c>
      <c r="C3" s="695" t="s">
        <v>1162</v>
      </c>
      <c r="D3" s="696" t="s">
        <v>1163</v>
      </c>
    </row>
    <row r="4" spans="2:4" x14ac:dyDescent="0.25">
      <c r="B4" s="697" t="s">
        <v>1164</v>
      </c>
      <c r="C4" s="446" t="s">
        <v>807</v>
      </c>
      <c r="D4" s="444" t="s">
        <v>70</v>
      </c>
    </row>
    <row r="5" spans="2:4" x14ac:dyDescent="0.25">
      <c r="B5" s="613" t="s">
        <v>1165</v>
      </c>
      <c r="C5" s="404" t="s">
        <v>804</v>
      </c>
      <c r="D5" s="452" t="s">
        <v>70</v>
      </c>
    </row>
    <row r="6" spans="2:4" x14ac:dyDescent="0.25">
      <c r="B6" s="613" t="s">
        <v>1166</v>
      </c>
      <c r="C6" s="404" t="s">
        <v>789</v>
      </c>
      <c r="D6" s="452" t="s">
        <v>213</v>
      </c>
    </row>
    <row r="7" spans="2:4" x14ac:dyDescent="0.25">
      <c r="B7" s="613" t="s">
        <v>1167</v>
      </c>
      <c r="C7" s="404" t="s">
        <v>804</v>
      </c>
      <c r="D7" s="452" t="s">
        <v>70</v>
      </c>
    </row>
    <row r="8" spans="2:4" x14ac:dyDescent="0.25">
      <c r="B8" s="613" t="s">
        <v>795</v>
      </c>
      <c r="C8" s="404" t="s">
        <v>797</v>
      </c>
      <c r="D8" s="452" t="s">
        <v>216</v>
      </c>
    </row>
    <row r="9" spans="2:4" x14ac:dyDescent="0.25">
      <c r="B9" s="613" t="s">
        <v>1168</v>
      </c>
      <c r="C9" s="404" t="s">
        <v>792</v>
      </c>
      <c r="D9" s="452" t="s">
        <v>213</v>
      </c>
    </row>
    <row r="10" spans="2:4" x14ac:dyDescent="0.25">
      <c r="B10" s="613" t="s">
        <v>1169</v>
      </c>
      <c r="C10" s="404" t="s">
        <v>797</v>
      </c>
      <c r="D10" s="452" t="s">
        <v>216</v>
      </c>
    </row>
    <row r="11" spans="2:4" x14ac:dyDescent="0.25">
      <c r="B11" s="613" t="s">
        <v>1170</v>
      </c>
      <c r="C11" s="404" t="s">
        <v>807</v>
      </c>
      <c r="D11" s="452" t="s">
        <v>70</v>
      </c>
    </row>
    <row r="12" spans="2:4" x14ac:dyDescent="0.25">
      <c r="B12" s="613" t="s">
        <v>1171</v>
      </c>
      <c r="C12" s="404" t="s">
        <v>789</v>
      </c>
      <c r="D12" s="452" t="s">
        <v>213</v>
      </c>
    </row>
    <row r="13" spans="2:4" x14ac:dyDescent="0.25">
      <c r="B13" s="613" t="s">
        <v>1172</v>
      </c>
      <c r="C13" s="404" t="s">
        <v>807</v>
      </c>
      <c r="D13" s="452" t="s">
        <v>70</v>
      </c>
    </row>
    <row r="14" spans="2:4" x14ac:dyDescent="0.25">
      <c r="B14" s="613" t="s">
        <v>1173</v>
      </c>
      <c r="C14" s="404" t="s">
        <v>590</v>
      </c>
      <c r="D14" s="452" t="s">
        <v>70</v>
      </c>
    </row>
    <row r="15" spans="2:4" x14ac:dyDescent="0.25">
      <c r="B15" s="613" t="s">
        <v>1174</v>
      </c>
      <c r="C15" s="404" t="s">
        <v>590</v>
      </c>
      <c r="D15" s="452" t="s">
        <v>70</v>
      </c>
    </row>
    <row r="16" spans="2:4" x14ac:dyDescent="0.25">
      <c r="B16" s="613" t="s">
        <v>1175</v>
      </c>
      <c r="C16" s="404" t="s">
        <v>590</v>
      </c>
      <c r="D16" s="452" t="s">
        <v>70</v>
      </c>
    </row>
    <row r="17" spans="2:4" x14ac:dyDescent="0.25">
      <c r="B17" s="613" t="s">
        <v>1176</v>
      </c>
      <c r="C17" s="404" t="s">
        <v>824</v>
      </c>
      <c r="D17" s="452" t="s">
        <v>468</v>
      </c>
    </row>
    <row r="18" spans="2:4" x14ac:dyDescent="0.25">
      <c r="B18" s="613" t="s">
        <v>1177</v>
      </c>
      <c r="C18" s="404" t="s">
        <v>824</v>
      </c>
      <c r="D18" s="452" t="s">
        <v>468</v>
      </c>
    </row>
    <row r="19" spans="2:4" x14ac:dyDescent="0.25">
      <c r="B19" s="613" t="s">
        <v>1178</v>
      </c>
      <c r="C19" s="404" t="s">
        <v>797</v>
      </c>
      <c r="D19" s="452" t="s">
        <v>70</v>
      </c>
    </row>
    <row r="20" spans="2:4" x14ac:dyDescent="0.25">
      <c r="B20" s="613" t="s">
        <v>1179</v>
      </c>
      <c r="C20" s="404" t="s">
        <v>824</v>
      </c>
      <c r="D20" s="452" t="s">
        <v>468</v>
      </c>
    </row>
    <row r="21" spans="2:4" x14ac:dyDescent="0.25">
      <c r="B21" s="613" t="s">
        <v>1180</v>
      </c>
      <c r="C21" s="404" t="s">
        <v>743</v>
      </c>
      <c r="D21" s="452" t="s">
        <v>70</v>
      </c>
    </row>
    <row r="22" spans="2:4" x14ac:dyDescent="0.25">
      <c r="B22" s="613" t="s">
        <v>1180</v>
      </c>
      <c r="C22" s="404" t="s">
        <v>747</v>
      </c>
      <c r="D22" s="452" t="s">
        <v>70</v>
      </c>
    </row>
    <row r="23" spans="2:4" x14ac:dyDescent="0.25">
      <c r="B23" s="613" t="s">
        <v>1181</v>
      </c>
      <c r="C23" s="404" t="s">
        <v>782</v>
      </c>
      <c r="D23" s="452" t="s">
        <v>213</v>
      </c>
    </row>
    <row r="24" spans="2:4" x14ac:dyDescent="0.25">
      <c r="B24" s="613" t="s">
        <v>1182</v>
      </c>
      <c r="C24" s="404" t="s">
        <v>782</v>
      </c>
      <c r="D24" s="452" t="s">
        <v>213</v>
      </c>
    </row>
    <row r="25" spans="2:4" x14ac:dyDescent="0.25">
      <c r="B25" s="613" t="s">
        <v>1183</v>
      </c>
      <c r="C25" s="404" t="s">
        <v>782</v>
      </c>
      <c r="D25" s="452" t="s">
        <v>213</v>
      </c>
    </row>
    <row r="26" spans="2:4" x14ac:dyDescent="0.25">
      <c r="B26" s="613" t="s">
        <v>1184</v>
      </c>
      <c r="C26" s="404" t="s">
        <v>782</v>
      </c>
      <c r="D26" s="452" t="s">
        <v>213</v>
      </c>
    </row>
    <row r="27" spans="2:4" x14ac:dyDescent="0.25">
      <c r="B27" s="613" t="s">
        <v>516</v>
      </c>
      <c r="C27" s="404" t="s">
        <v>545</v>
      </c>
      <c r="D27" s="452" t="s">
        <v>70</v>
      </c>
    </row>
    <row r="28" spans="2:4" x14ac:dyDescent="0.25">
      <c r="B28" s="613" t="s">
        <v>516</v>
      </c>
      <c r="C28" s="404" t="s">
        <v>557</v>
      </c>
      <c r="D28" s="452" t="s">
        <v>70</v>
      </c>
    </row>
    <row r="29" spans="2:4" x14ac:dyDescent="0.25">
      <c r="B29" s="613" t="s">
        <v>1185</v>
      </c>
      <c r="C29" s="404" t="s">
        <v>530</v>
      </c>
      <c r="D29" s="452" t="s">
        <v>468</v>
      </c>
    </row>
    <row r="30" spans="2:4" x14ac:dyDescent="0.25">
      <c r="B30" s="613" t="s">
        <v>1185</v>
      </c>
      <c r="C30" s="404" t="s">
        <v>563</v>
      </c>
      <c r="D30" s="452" t="s">
        <v>468</v>
      </c>
    </row>
    <row r="31" spans="2:4" x14ac:dyDescent="0.25">
      <c r="B31" s="613" t="s">
        <v>1186</v>
      </c>
      <c r="C31" s="404" t="s">
        <v>557</v>
      </c>
      <c r="D31" s="452" t="s">
        <v>70</v>
      </c>
    </row>
    <row r="32" spans="2:4" x14ac:dyDescent="0.25">
      <c r="B32" s="613" t="s">
        <v>1186</v>
      </c>
      <c r="C32" s="404" t="s">
        <v>545</v>
      </c>
      <c r="D32" s="452" t="s">
        <v>70</v>
      </c>
    </row>
    <row r="33" spans="2:4" x14ac:dyDescent="0.25">
      <c r="B33" s="613" t="s">
        <v>1187</v>
      </c>
      <c r="C33" s="404" t="s">
        <v>541</v>
      </c>
      <c r="D33" s="452" t="s">
        <v>216</v>
      </c>
    </row>
    <row r="34" spans="2:4" x14ac:dyDescent="0.25">
      <c r="B34" s="613" t="s">
        <v>539</v>
      </c>
      <c r="C34" s="404" t="s">
        <v>548</v>
      </c>
      <c r="D34" s="452" t="s">
        <v>70</v>
      </c>
    </row>
    <row r="35" spans="2:4" x14ac:dyDescent="0.25">
      <c r="B35" s="613" t="s">
        <v>1188</v>
      </c>
      <c r="C35" s="404" t="s">
        <v>536</v>
      </c>
      <c r="D35" s="452" t="s">
        <v>468</v>
      </c>
    </row>
    <row r="36" spans="2:4" x14ac:dyDescent="0.25">
      <c r="B36" s="614" t="s">
        <v>1189</v>
      </c>
      <c r="C36" s="428" t="s">
        <v>548</v>
      </c>
      <c r="D36" s="615" t="s">
        <v>70</v>
      </c>
    </row>
    <row r="37" spans="2:4" x14ac:dyDescent="0.25">
      <c r="B37" s="613" t="s">
        <v>1190</v>
      </c>
      <c r="C37" s="404" t="s">
        <v>541</v>
      </c>
      <c r="D37" s="452" t="s">
        <v>216</v>
      </c>
    </row>
    <row r="38" spans="2:4" x14ac:dyDescent="0.25">
      <c r="B38" s="613" t="s">
        <v>527</v>
      </c>
      <c r="C38" s="404" t="s">
        <v>560</v>
      </c>
      <c r="D38" s="452" t="s">
        <v>213</v>
      </c>
    </row>
    <row r="39" spans="2:4" x14ac:dyDescent="0.25">
      <c r="B39" s="613" t="s">
        <v>527</v>
      </c>
      <c r="C39" s="404" t="s">
        <v>524</v>
      </c>
      <c r="D39" s="452" t="s">
        <v>213</v>
      </c>
    </row>
    <row r="40" spans="2:4" x14ac:dyDescent="0.25">
      <c r="B40" s="613" t="s">
        <v>1191</v>
      </c>
      <c r="C40" s="404" t="s">
        <v>524</v>
      </c>
      <c r="D40" s="452" t="s">
        <v>213</v>
      </c>
    </row>
    <row r="41" spans="2:4" x14ac:dyDescent="0.25">
      <c r="B41" s="613" t="s">
        <v>1191</v>
      </c>
      <c r="C41" s="404" t="s">
        <v>560</v>
      </c>
      <c r="D41" s="452" t="s">
        <v>213</v>
      </c>
    </row>
    <row r="42" spans="2:4" ht="29.45" customHeight="1" x14ac:dyDescent="0.25">
      <c r="B42" s="613" t="s">
        <v>1192</v>
      </c>
      <c r="C42" s="404" t="s">
        <v>560</v>
      </c>
      <c r="D42" s="452" t="s">
        <v>213</v>
      </c>
    </row>
    <row r="43" spans="2:4" ht="29.45" customHeight="1" x14ac:dyDescent="0.25">
      <c r="B43" s="613" t="s">
        <v>1192</v>
      </c>
      <c r="C43" s="404" t="s">
        <v>524</v>
      </c>
      <c r="D43" s="452" t="s">
        <v>213</v>
      </c>
    </row>
    <row r="44" spans="2:4" ht="25.5" x14ac:dyDescent="0.25">
      <c r="B44" s="613" t="s">
        <v>1193</v>
      </c>
      <c r="C44" s="404" t="s">
        <v>541</v>
      </c>
      <c r="D44" s="452" t="s">
        <v>216</v>
      </c>
    </row>
    <row r="45" spans="2:4" x14ac:dyDescent="0.25">
      <c r="B45" s="613" t="s">
        <v>1194</v>
      </c>
      <c r="C45" s="404" t="s">
        <v>541</v>
      </c>
      <c r="D45" s="452" t="s">
        <v>216</v>
      </c>
    </row>
    <row r="46" spans="2:4" x14ac:dyDescent="0.25">
      <c r="B46" s="613" t="s">
        <v>1195</v>
      </c>
      <c r="C46" s="404" t="s">
        <v>773</v>
      </c>
      <c r="D46" s="452" t="s">
        <v>468</v>
      </c>
    </row>
    <row r="47" spans="2:4" x14ac:dyDescent="0.25">
      <c r="B47" s="613" t="s">
        <v>1195</v>
      </c>
      <c r="C47" s="404" t="s">
        <v>548</v>
      </c>
      <c r="D47" s="452" t="s">
        <v>70</v>
      </c>
    </row>
    <row r="48" spans="2:4" x14ac:dyDescent="0.25">
      <c r="B48" s="613" t="s">
        <v>1195</v>
      </c>
      <c r="C48" s="404" t="s">
        <v>541</v>
      </c>
      <c r="D48" s="452" t="s">
        <v>216</v>
      </c>
    </row>
    <row r="49" spans="2:4" x14ac:dyDescent="0.25">
      <c r="B49" s="613" t="s">
        <v>1196</v>
      </c>
      <c r="C49" s="404" t="s">
        <v>541</v>
      </c>
      <c r="D49" s="452" t="s">
        <v>216</v>
      </c>
    </row>
    <row r="50" spans="2:4" x14ac:dyDescent="0.25">
      <c r="B50" s="613" t="s">
        <v>1197</v>
      </c>
      <c r="C50" s="404" t="s">
        <v>660</v>
      </c>
      <c r="D50" s="452" t="s">
        <v>213</v>
      </c>
    </row>
    <row r="51" spans="2:4" x14ac:dyDescent="0.25">
      <c r="B51" s="613" t="s">
        <v>1198</v>
      </c>
      <c r="C51" s="404" t="s">
        <v>656</v>
      </c>
      <c r="D51" s="452" t="s">
        <v>213</v>
      </c>
    </row>
    <row r="52" spans="2:4" x14ac:dyDescent="0.25">
      <c r="B52" s="613" t="s">
        <v>1199</v>
      </c>
      <c r="C52" s="404" t="s">
        <v>656</v>
      </c>
      <c r="D52" s="452" t="s">
        <v>213</v>
      </c>
    </row>
    <row r="53" spans="2:4" x14ac:dyDescent="0.25">
      <c r="B53" s="613" t="s">
        <v>1200</v>
      </c>
      <c r="C53" s="404" t="s">
        <v>656</v>
      </c>
      <c r="D53" s="452" t="s">
        <v>213</v>
      </c>
    </row>
    <row r="54" spans="2:4" x14ac:dyDescent="0.25">
      <c r="B54" s="613" t="s">
        <v>1201</v>
      </c>
      <c r="C54" s="404" t="s">
        <v>656</v>
      </c>
      <c r="D54" s="452" t="s">
        <v>213</v>
      </c>
    </row>
    <row r="55" spans="2:4" x14ac:dyDescent="0.25">
      <c r="B55" s="613" t="s">
        <v>1202</v>
      </c>
      <c r="C55" s="404" t="s">
        <v>656</v>
      </c>
      <c r="D55" s="452" t="s">
        <v>213</v>
      </c>
    </row>
    <row r="56" spans="2:4" x14ac:dyDescent="0.25">
      <c r="B56" s="613" t="s">
        <v>1203</v>
      </c>
      <c r="C56" s="404" t="s">
        <v>656</v>
      </c>
      <c r="D56" s="452" t="s">
        <v>213</v>
      </c>
    </row>
    <row r="57" spans="2:4" x14ac:dyDescent="0.25">
      <c r="B57" s="613" t="s">
        <v>1204</v>
      </c>
      <c r="C57" s="404" t="s">
        <v>677</v>
      </c>
      <c r="D57" s="452" t="s">
        <v>213</v>
      </c>
    </row>
    <row r="58" spans="2:4" x14ac:dyDescent="0.25">
      <c r="B58" s="613" t="s">
        <v>1205</v>
      </c>
      <c r="C58" s="404" t="s">
        <v>677</v>
      </c>
      <c r="D58" s="452" t="s">
        <v>213</v>
      </c>
    </row>
    <row r="59" spans="2:4" x14ac:dyDescent="0.25">
      <c r="B59" s="613" t="s">
        <v>1206</v>
      </c>
      <c r="C59" s="404" t="s">
        <v>677</v>
      </c>
      <c r="D59" s="452" t="s">
        <v>213</v>
      </c>
    </row>
    <row r="60" spans="2:4" x14ac:dyDescent="0.25">
      <c r="B60" s="613" t="s">
        <v>1207</v>
      </c>
      <c r="C60" s="404" t="s">
        <v>677</v>
      </c>
      <c r="D60" s="452" t="s">
        <v>213</v>
      </c>
    </row>
    <row r="61" spans="2:4" x14ac:dyDescent="0.25">
      <c r="B61" s="613" t="s">
        <v>1207</v>
      </c>
      <c r="C61" s="404" t="s">
        <v>1208</v>
      </c>
      <c r="D61" s="452" t="s">
        <v>213</v>
      </c>
    </row>
    <row r="62" spans="2:4" x14ac:dyDescent="0.25">
      <c r="B62" s="613" t="s">
        <v>1209</v>
      </c>
      <c r="C62" s="404" t="s">
        <v>677</v>
      </c>
      <c r="D62" s="452" t="s">
        <v>213</v>
      </c>
    </row>
    <row r="63" spans="2:4" x14ac:dyDescent="0.25">
      <c r="B63" s="613" t="s">
        <v>1209</v>
      </c>
      <c r="C63" s="404" t="s">
        <v>536</v>
      </c>
      <c r="D63" s="452" t="s">
        <v>468</v>
      </c>
    </row>
    <row r="64" spans="2:4" x14ac:dyDescent="0.25">
      <c r="B64" s="613" t="s">
        <v>1209</v>
      </c>
      <c r="C64" s="404" t="s">
        <v>530</v>
      </c>
      <c r="D64" s="452" t="s">
        <v>468</v>
      </c>
    </row>
    <row r="65" spans="2:4" x14ac:dyDescent="0.25">
      <c r="B65" s="613" t="s">
        <v>1209</v>
      </c>
      <c r="C65" s="404" t="s">
        <v>545</v>
      </c>
      <c r="D65" s="452" t="s">
        <v>70</v>
      </c>
    </row>
    <row r="66" spans="2:4" x14ac:dyDescent="0.25">
      <c r="B66" s="613" t="s">
        <v>1210</v>
      </c>
      <c r="C66" s="404" t="s">
        <v>677</v>
      </c>
      <c r="D66" s="452" t="s">
        <v>213</v>
      </c>
    </row>
    <row r="67" spans="2:4" x14ac:dyDescent="0.25">
      <c r="B67" s="613" t="s">
        <v>1210</v>
      </c>
      <c r="C67" s="430" t="s">
        <v>583</v>
      </c>
      <c r="D67" s="452" t="s">
        <v>213</v>
      </c>
    </row>
    <row r="68" spans="2:4" x14ac:dyDescent="0.25">
      <c r="B68" s="613" t="s">
        <v>1211</v>
      </c>
      <c r="C68" s="404" t="s">
        <v>1212</v>
      </c>
      <c r="D68" s="452" t="s">
        <v>468</v>
      </c>
    </row>
    <row r="69" spans="2:4" x14ac:dyDescent="0.25">
      <c r="B69" s="613" t="s">
        <v>1211</v>
      </c>
      <c r="C69" s="404" t="s">
        <v>1213</v>
      </c>
      <c r="D69" s="452" t="s">
        <v>70</v>
      </c>
    </row>
    <row r="70" spans="2:4" x14ac:dyDescent="0.25">
      <c r="B70" s="613" t="s">
        <v>1211</v>
      </c>
      <c r="C70" s="404" t="s">
        <v>624</v>
      </c>
      <c r="D70" s="452" t="s">
        <v>213</v>
      </c>
    </row>
    <row r="71" spans="2:4" x14ac:dyDescent="0.25">
      <c r="B71" s="613" t="s">
        <v>1211</v>
      </c>
      <c r="C71" s="404" t="s">
        <v>627</v>
      </c>
      <c r="D71" s="452" t="s">
        <v>213</v>
      </c>
    </row>
    <row r="72" spans="2:4" x14ac:dyDescent="0.25">
      <c r="B72" s="613" t="s">
        <v>1211</v>
      </c>
      <c r="C72" s="404" t="s">
        <v>630</v>
      </c>
      <c r="D72" s="452" t="s">
        <v>213</v>
      </c>
    </row>
    <row r="73" spans="2:4" x14ac:dyDescent="0.25">
      <c r="B73" s="613" t="s">
        <v>1211</v>
      </c>
      <c r="C73" s="404" t="s">
        <v>633</v>
      </c>
      <c r="D73" s="452" t="s">
        <v>213</v>
      </c>
    </row>
    <row r="74" spans="2:4" x14ac:dyDescent="0.25">
      <c r="B74" s="613" t="s">
        <v>1211</v>
      </c>
      <c r="C74" s="404" t="s">
        <v>1214</v>
      </c>
      <c r="D74" s="452" t="s">
        <v>213</v>
      </c>
    </row>
    <row r="75" spans="2:4" x14ac:dyDescent="0.25">
      <c r="B75" s="613" t="s">
        <v>1211</v>
      </c>
      <c r="C75" s="404" t="s">
        <v>1215</v>
      </c>
      <c r="D75" s="452" t="s">
        <v>213</v>
      </c>
    </row>
    <row r="76" spans="2:4" x14ac:dyDescent="0.25">
      <c r="B76" s="613" t="s">
        <v>1211</v>
      </c>
      <c r="C76" s="404" t="s">
        <v>1216</v>
      </c>
      <c r="D76" s="452" t="s">
        <v>70</v>
      </c>
    </row>
    <row r="77" spans="2:4" x14ac:dyDescent="0.25">
      <c r="B77" s="613" t="s">
        <v>1211</v>
      </c>
      <c r="C77" s="404" t="s">
        <v>1217</v>
      </c>
      <c r="D77" s="452" t="s">
        <v>70</v>
      </c>
    </row>
    <row r="78" spans="2:4" x14ac:dyDescent="0.25">
      <c r="B78" s="613" t="s">
        <v>1211</v>
      </c>
      <c r="C78" s="404" t="s">
        <v>1218</v>
      </c>
      <c r="D78" s="452" t="s">
        <v>213</v>
      </c>
    </row>
    <row r="79" spans="2:4" x14ac:dyDescent="0.25">
      <c r="B79" s="613" t="s">
        <v>1219</v>
      </c>
      <c r="C79" s="404" t="s">
        <v>583</v>
      </c>
      <c r="D79" s="452" t="s">
        <v>213</v>
      </c>
    </row>
    <row r="80" spans="2:4" x14ac:dyDescent="0.25">
      <c r="B80" s="613" t="s">
        <v>1219</v>
      </c>
      <c r="C80" s="404" t="s">
        <v>612</v>
      </c>
      <c r="D80" s="452" t="s">
        <v>213</v>
      </c>
    </row>
    <row r="81" spans="2:4" x14ac:dyDescent="0.25">
      <c r="B81" s="613" t="s">
        <v>1220</v>
      </c>
      <c r="C81" s="404" t="s">
        <v>583</v>
      </c>
      <c r="D81" s="452" t="s">
        <v>213</v>
      </c>
    </row>
    <row r="82" spans="2:4" x14ac:dyDescent="0.25">
      <c r="B82" s="613" t="s">
        <v>1220</v>
      </c>
      <c r="C82" s="404" t="s">
        <v>612</v>
      </c>
      <c r="D82" s="452" t="s">
        <v>213</v>
      </c>
    </row>
    <row r="83" spans="2:4" x14ac:dyDescent="0.25">
      <c r="B83" s="613" t="s">
        <v>1221</v>
      </c>
      <c r="C83" s="404" t="s">
        <v>583</v>
      </c>
      <c r="D83" s="452" t="s">
        <v>213</v>
      </c>
    </row>
    <row r="84" spans="2:4" x14ac:dyDescent="0.25">
      <c r="B84" s="613" t="s">
        <v>1221</v>
      </c>
      <c r="C84" s="404" t="s">
        <v>612</v>
      </c>
      <c r="D84" s="452" t="s">
        <v>213</v>
      </c>
    </row>
    <row r="85" spans="2:4" x14ac:dyDescent="0.25">
      <c r="B85" s="613" t="s">
        <v>1222</v>
      </c>
      <c r="C85" s="404" t="s">
        <v>583</v>
      </c>
      <c r="D85" s="452" t="s">
        <v>213</v>
      </c>
    </row>
    <row r="86" spans="2:4" x14ac:dyDescent="0.25">
      <c r="B86" s="613" t="s">
        <v>1222</v>
      </c>
      <c r="C86" s="404" t="s">
        <v>612</v>
      </c>
      <c r="D86" s="452" t="s">
        <v>213</v>
      </c>
    </row>
    <row r="87" spans="2:4" x14ac:dyDescent="0.25">
      <c r="B87" s="613" t="s">
        <v>1223</v>
      </c>
      <c r="C87" s="404" t="s">
        <v>583</v>
      </c>
      <c r="D87" s="452" t="s">
        <v>213</v>
      </c>
    </row>
    <row r="88" spans="2:4" x14ac:dyDescent="0.25">
      <c r="B88" s="613" t="s">
        <v>1223</v>
      </c>
      <c r="C88" s="404" t="s">
        <v>612</v>
      </c>
      <c r="D88" s="452" t="s">
        <v>213</v>
      </c>
    </row>
    <row r="89" spans="2:4" x14ac:dyDescent="0.25">
      <c r="B89" s="613" t="s">
        <v>1224</v>
      </c>
      <c r="C89" s="404" t="s">
        <v>594</v>
      </c>
      <c r="D89" s="452" t="s">
        <v>468</v>
      </c>
    </row>
    <row r="90" spans="2:4" x14ac:dyDescent="0.25">
      <c r="B90" s="613" t="s">
        <v>1225</v>
      </c>
      <c r="C90" s="404" t="s">
        <v>583</v>
      </c>
      <c r="D90" s="452" t="s">
        <v>213</v>
      </c>
    </row>
    <row r="91" spans="2:4" x14ac:dyDescent="0.25">
      <c r="B91" s="613" t="s">
        <v>1226</v>
      </c>
      <c r="C91" s="404" t="s">
        <v>583</v>
      </c>
      <c r="D91" s="452" t="s">
        <v>213</v>
      </c>
    </row>
    <row r="92" spans="2:4" x14ac:dyDescent="0.25">
      <c r="B92" s="613" t="s">
        <v>1225</v>
      </c>
      <c r="C92" s="404" t="s">
        <v>612</v>
      </c>
      <c r="D92" s="452" t="s">
        <v>213</v>
      </c>
    </row>
    <row r="93" spans="2:4" x14ac:dyDescent="0.25">
      <c r="B93" s="613" t="s">
        <v>1226</v>
      </c>
      <c r="C93" s="404" t="s">
        <v>612</v>
      </c>
      <c r="D93" s="452" t="s">
        <v>213</v>
      </c>
    </row>
    <row r="94" spans="2:4" x14ac:dyDescent="0.25">
      <c r="B94" s="613" t="s">
        <v>513</v>
      </c>
      <c r="C94" s="404" t="s">
        <v>514</v>
      </c>
      <c r="D94" s="452" t="s">
        <v>216</v>
      </c>
    </row>
    <row r="95" spans="2:4" x14ac:dyDescent="0.25">
      <c r="B95" s="613" t="s">
        <v>1227</v>
      </c>
      <c r="C95" s="404" t="s">
        <v>514</v>
      </c>
      <c r="D95" s="452" t="s">
        <v>216</v>
      </c>
    </row>
    <row r="96" spans="2:4" x14ac:dyDescent="0.25">
      <c r="B96" s="613" t="s">
        <v>1228</v>
      </c>
      <c r="C96" s="404" t="s">
        <v>514</v>
      </c>
      <c r="D96" s="452" t="s">
        <v>216</v>
      </c>
    </row>
    <row r="97" spans="2:4" x14ac:dyDescent="0.25">
      <c r="B97" s="613" t="s">
        <v>1229</v>
      </c>
      <c r="C97" s="430" t="s">
        <v>669</v>
      </c>
      <c r="D97" s="452" t="s">
        <v>213</v>
      </c>
    </row>
    <row r="98" spans="2:4" x14ac:dyDescent="0.25">
      <c r="B98" s="613" t="s">
        <v>1230</v>
      </c>
      <c r="C98" s="404" t="s">
        <v>514</v>
      </c>
      <c r="D98" s="452" t="s">
        <v>70</v>
      </c>
    </row>
    <row r="99" spans="2:4" x14ac:dyDescent="0.25">
      <c r="B99" s="613" t="s">
        <v>1231</v>
      </c>
      <c r="C99" s="430" t="s">
        <v>992</v>
      </c>
      <c r="D99" s="452" t="s">
        <v>216</v>
      </c>
    </row>
    <row r="100" spans="2:4" x14ac:dyDescent="0.25">
      <c r="B100" s="613" t="s">
        <v>1231</v>
      </c>
      <c r="C100" s="430" t="s">
        <v>667</v>
      </c>
      <c r="D100" s="452" t="s">
        <v>216</v>
      </c>
    </row>
    <row r="101" spans="2:4" x14ac:dyDescent="0.25">
      <c r="B101" s="613" t="s">
        <v>1232</v>
      </c>
      <c r="C101" s="430" t="s">
        <v>992</v>
      </c>
      <c r="D101" s="452" t="s">
        <v>216</v>
      </c>
    </row>
    <row r="102" spans="2:4" x14ac:dyDescent="0.25">
      <c r="B102" s="613" t="s">
        <v>752</v>
      </c>
      <c r="C102" s="404" t="s">
        <v>765</v>
      </c>
      <c r="D102" s="452" t="s">
        <v>468</v>
      </c>
    </row>
    <row r="103" spans="2:4" x14ac:dyDescent="0.25">
      <c r="B103" s="613" t="s">
        <v>1233</v>
      </c>
      <c r="C103" s="404" t="s">
        <v>765</v>
      </c>
      <c r="D103" s="452" t="s">
        <v>468</v>
      </c>
    </row>
    <row r="104" spans="2:4" x14ac:dyDescent="0.25">
      <c r="B104" s="613" t="s">
        <v>749</v>
      </c>
      <c r="C104" s="404" t="s">
        <v>750</v>
      </c>
      <c r="D104" s="452" t="s">
        <v>468</v>
      </c>
    </row>
    <row r="105" spans="2:4" x14ac:dyDescent="0.25">
      <c r="B105" s="613" t="s">
        <v>1234</v>
      </c>
      <c r="C105" s="404" t="s">
        <v>765</v>
      </c>
      <c r="D105" s="452" t="s">
        <v>468</v>
      </c>
    </row>
    <row r="106" spans="2:4" x14ac:dyDescent="0.25">
      <c r="B106" s="613" t="s">
        <v>1235</v>
      </c>
      <c r="C106" s="430" t="s">
        <v>779</v>
      </c>
      <c r="D106" s="452" t="s">
        <v>468</v>
      </c>
    </row>
    <row r="107" spans="2:4" x14ac:dyDescent="0.25">
      <c r="B107" s="613" t="s">
        <v>1236</v>
      </c>
      <c r="C107" s="404" t="s">
        <v>750</v>
      </c>
      <c r="D107" s="452" t="s">
        <v>468</v>
      </c>
    </row>
    <row r="108" spans="2:4" x14ac:dyDescent="0.25">
      <c r="B108" s="613" t="s">
        <v>1236</v>
      </c>
      <c r="C108" s="404" t="s">
        <v>765</v>
      </c>
      <c r="D108" s="452" t="s">
        <v>468</v>
      </c>
    </row>
    <row r="109" spans="2:4" x14ac:dyDescent="0.25">
      <c r="B109" s="613" t="s">
        <v>1237</v>
      </c>
      <c r="C109" s="404" t="s">
        <v>759</v>
      </c>
      <c r="D109" s="452" t="s">
        <v>468</v>
      </c>
    </row>
    <row r="110" spans="2:4" x14ac:dyDescent="0.25">
      <c r="B110" s="613" t="s">
        <v>1238</v>
      </c>
      <c r="C110" s="404" t="s">
        <v>759</v>
      </c>
      <c r="D110" s="452" t="s">
        <v>468</v>
      </c>
    </row>
    <row r="111" spans="2:4" x14ac:dyDescent="0.25">
      <c r="B111" s="613" t="s">
        <v>1239</v>
      </c>
      <c r="C111" s="404" t="s">
        <v>759</v>
      </c>
      <c r="D111" s="452" t="s">
        <v>468</v>
      </c>
    </row>
    <row r="112" spans="2:4" x14ac:dyDescent="0.25">
      <c r="B112" s="613" t="s">
        <v>1240</v>
      </c>
      <c r="C112" s="404" t="s">
        <v>759</v>
      </c>
      <c r="D112" s="452" t="s">
        <v>468</v>
      </c>
    </row>
    <row r="113" spans="2:4" x14ac:dyDescent="0.25">
      <c r="B113" s="613" t="s">
        <v>1241</v>
      </c>
      <c r="C113" s="404" t="s">
        <v>759</v>
      </c>
      <c r="D113" s="452" t="s">
        <v>468</v>
      </c>
    </row>
    <row r="114" spans="2:4" x14ac:dyDescent="0.25">
      <c r="B114" s="613" t="s">
        <v>1242</v>
      </c>
      <c r="C114" s="404" t="s">
        <v>1243</v>
      </c>
      <c r="D114" s="452" t="s">
        <v>468</v>
      </c>
    </row>
    <row r="115" spans="2:4" x14ac:dyDescent="0.25">
      <c r="B115" s="613" t="s">
        <v>1244</v>
      </c>
      <c r="C115" s="404" t="s">
        <v>1243</v>
      </c>
      <c r="D115" s="452" t="s">
        <v>468</v>
      </c>
    </row>
    <row r="116" spans="2:4" x14ac:dyDescent="0.25">
      <c r="B116" s="613" t="s">
        <v>1245</v>
      </c>
      <c r="C116" s="404" t="s">
        <v>1243</v>
      </c>
      <c r="D116" s="452" t="s">
        <v>468</v>
      </c>
    </row>
    <row r="117" spans="2:4" x14ac:dyDescent="0.25">
      <c r="B117" s="613" t="s">
        <v>1246</v>
      </c>
      <c r="C117" s="404" t="s">
        <v>754</v>
      </c>
      <c r="D117" s="452" t="s">
        <v>468</v>
      </c>
    </row>
    <row r="118" spans="2:4" x14ac:dyDescent="0.25">
      <c r="B118" s="613" t="s">
        <v>1247</v>
      </c>
      <c r="C118" s="404" t="s">
        <v>759</v>
      </c>
      <c r="D118" s="452" t="s">
        <v>468</v>
      </c>
    </row>
    <row r="119" spans="2:4" x14ac:dyDescent="0.25">
      <c r="B119" s="613" t="s">
        <v>1248</v>
      </c>
      <c r="C119" s="404" t="s">
        <v>759</v>
      </c>
      <c r="D119" s="452" t="s">
        <v>468</v>
      </c>
    </row>
    <row r="120" spans="2:4" x14ac:dyDescent="0.25">
      <c r="B120" s="613" t="s">
        <v>1248</v>
      </c>
      <c r="C120" s="430" t="s">
        <v>776</v>
      </c>
      <c r="D120" s="615" t="s">
        <v>213</v>
      </c>
    </row>
    <row r="121" spans="2:4" x14ac:dyDescent="0.25">
      <c r="B121" s="613" t="s">
        <v>1249</v>
      </c>
      <c r="C121" s="404" t="s">
        <v>1250</v>
      </c>
      <c r="D121" s="462"/>
    </row>
    <row r="122" spans="2:4" x14ac:dyDescent="0.25">
      <c r="B122" s="613" t="s">
        <v>1251</v>
      </c>
      <c r="C122" s="430" t="s">
        <v>776</v>
      </c>
      <c r="D122" s="615" t="s">
        <v>213</v>
      </c>
    </row>
    <row r="123" spans="2:4" x14ac:dyDescent="0.25">
      <c r="B123" s="613" t="s">
        <v>1252</v>
      </c>
      <c r="C123" s="404" t="s">
        <v>669</v>
      </c>
      <c r="D123" s="452" t="s">
        <v>213</v>
      </c>
    </row>
    <row r="124" spans="2:4" x14ac:dyDescent="0.25">
      <c r="B124" s="613" t="s">
        <v>1253</v>
      </c>
      <c r="C124" s="430" t="s">
        <v>682</v>
      </c>
      <c r="D124" s="452" t="s">
        <v>70</v>
      </c>
    </row>
    <row r="125" spans="2:4" x14ac:dyDescent="0.25">
      <c r="B125" s="613" t="s">
        <v>1254</v>
      </c>
      <c r="C125" s="404" t="s">
        <v>669</v>
      </c>
      <c r="D125" s="452" t="s">
        <v>213</v>
      </c>
    </row>
    <row r="126" spans="2:4" x14ac:dyDescent="0.25">
      <c r="B126" s="613" t="s">
        <v>1255</v>
      </c>
      <c r="C126" s="430" t="s">
        <v>682</v>
      </c>
      <c r="D126" s="452" t="s">
        <v>70</v>
      </c>
    </row>
    <row r="127" spans="2:4" x14ac:dyDescent="0.25">
      <c r="B127" s="613" t="s">
        <v>1256</v>
      </c>
      <c r="C127" s="404" t="s">
        <v>669</v>
      </c>
      <c r="D127" s="452" t="s">
        <v>213</v>
      </c>
    </row>
    <row r="128" spans="2:4" x14ac:dyDescent="0.25">
      <c r="B128" s="613" t="s">
        <v>1257</v>
      </c>
      <c r="C128" s="404" t="s">
        <v>669</v>
      </c>
      <c r="D128" s="452" t="s">
        <v>213</v>
      </c>
    </row>
    <row r="129" spans="2:4" x14ac:dyDescent="0.25">
      <c r="B129" s="613" t="s">
        <v>1258</v>
      </c>
      <c r="C129" s="404" t="s">
        <v>669</v>
      </c>
      <c r="D129" s="452" t="s">
        <v>213</v>
      </c>
    </row>
    <row r="130" spans="2:4" x14ac:dyDescent="0.25">
      <c r="B130" s="613" t="s">
        <v>1259</v>
      </c>
      <c r="C130" s="404" t="s">
        <v>669</v>
      </c>
      <c r="D130" s="452" t="s">
        <v>213</v>
      </c>
    </row>
    <row r="131" spans="2:4" x14ac:dyDescent="0.25">
      <c r="B131" s="613" t="s">
        <v>1260</v>
      </c>
      <c r="C131" s="404" t="s">
        <v>669</v>
      </c>
      <c r="D131" s="452" t="s">
        <v>213</v>
      </c>
    </row>
    <row r="132" spans="2:4" x14ac:dyDescent="0.25">
      <c r="B132" s="613" t="s">
        <v>673</v>
      </c>
      <c r="C132" s="404" t="s">
        <v>674</v>
      </c>
      <c r="D132" s="452" t="s">
        <v>468</v>
      </c>
    </row>
    <row r="133" spans="2:4" x14ac:dyDescent="0.25">
      <c r="B133" s="613" t="s">
        <v>1261</v>
      </c>
      <c r="C133" s="404" t="s">
        <v>682</v>
      </c>
      <c r="D133" s="452" t="s">
        <v>70</v>
      </c>
    </row>
    <row r="134" spans="2:4" x14ac:dyDescent="0.25">
      <c r="B134" s="613" t="s">
        <v>1262</v>
      </c>
      <c r="C134" s="404" t="s">
        <v>682</v>
      </c>
      <c r="D134" s="452" t="s">
        <v>70</v>
      </c>
    </row>
    <row r="135" spans="2:4" x14ac:dyDescent="0.25">
      <c r="B135" s="613" t="s">
        <v>1263</v>
      </c>
      <c r="C135" s="404" t="s">
        <v>682</v>
      </c>
      <c r="D135" s="452" t="s">
        <v>70</v>
      </c>
    </row>
    <row r="136" spans="2:4" x14ac:dyDescent="0.25">
      <c r="B136" s="613" t="s">
        <v>1264</v>
      </c>
      <c r="C136" s="404" t="s">
        <v>682</v>
      </c>
      <c r="D136" s="452" t="s">
        <v>70</v>
      </c>
    </row>
    <row r="137" spans="2:4" x14ac:dyDescent="0.25">
      <c r="B137" s="613" t="s">
        <v>1264</v>
      </c>
      <c r="C137" s="404" t="s">
        <v>682</v>
      </c>
      <c r="D137" s="452" t="s">
        <v>70</v>
      </c>
    </row>
    <row r="138" spans="2:4" x14ac:dyDescent="0.25">
      <c r="B138" s="613" t="s">
        <v>1264</v>
      </c>
      <c r="C138" s="404" t="s">
        <v>682</v>
      </c>
      <c r="D138" s="452" t="s">
        <v>70</v>
      </c>
    </row>
    <row r="139" spans="2:4" x14ac:dyDescent="0.25">
      <c r="B139" s="613" t="s">
        <v>1264</v>
      </c>
      <c r="C139" s="404" t="s">
        <v>682</v>
      </c>
      <c r="D139" s="452" t="s">
        <v>70</v>
      </c>
    </row>
    <row r="140" spans="2:4" x14ac:dyDescent="0.25">
      <c r="B140" s="613" t="s">
        <v>1264</v>
      </c>
      <c r="C140" s="404" t="s">
        <v>682</v>
      </c>
      <c r="D140" s="452" t="s">
        <v>70</v>
      </c>
    </row>
    <row r="141" spans="2:4" x14ac:dyDescent="0.25">
      <c r="B141" s="613" t="s">
        <v>1264</v>
      </c>
      <c r="C141" s="404" t="s">
        <v>682</v>
      </c>
      <c r="D141" s="452" t="s">
        <v>70</v>
      </c>
    </row>
    <row r="142" spans="2:4" x14ac:dyDescent="0.25">
      <c r="B142" s="613" t="s">
        <v>1265</v>
      </c>
      <c r="C142" s="404" t="s">
        <v>1266</v>
      </c>
      <c r="D142" s="452" t="s">
        <v>216</v>
      </c>
    </row>
    <row r="143" spans="2:4" x14ac:dyDescent="0.25">
      <c r="B143" s="613" t="s">
        <v>1267</v>
      </c>
      <c r="C143" s="404" t="s">
        <v>1266</v>
      </c>
      <c r="D143" s="452" t="s">
        <v>216</v>
      </c>
    </row>
    <row r="144" spans="2:4" x14ac:dyDescent="0.25">
      <c r="B144" s="613" t="s">
        <v>1268</v>
      </c>
      <c r="C144" s="404" t="s">
        <v>1266</v>
      </c>
      <c r="D144" s="452" t="s">
        <v>216</v>
      </c>
    </row>
    <row r="145" spans="2:4" x14ac:dyDescent="0.25">
      <c r="B145" s="613" t="s">
        <v>1269</v>
      </c>
      <c r="C145" s="404" t="s">
        <v>687</v>
      </c>
      <c r="D145" s="452" t="s">
        <v>487</v>
      </c>
    </row>
    <row r="146" spans="2:4" x14ac:dyDescent="0.25">
      <c r="B146" s="613" t="s">
        <v>1270</v>
      </c>
      <c r="C146" s="404" t="s">
        <v>485</v>
      </c>
      <c r="D146" s="452" t="s">
        <v>216</v>
      </c>
    </row>
    <row r="147" spans="2:4" ht="36.6" customHeight="1" x14ac:dyDescent="0.25">
      <c r="B147" s="613" t="s">
        <v>1271</v>
      </c>
      <c r="C147" s="382" t="s">
        <v>1272</v>
      </c>
      <c r="D147" s="452" t="s">
        <v>216</v>
      </c>
    </row>
    <row r="148" spans="2:4" x14ac:dyDescent="0.25">
      <c r="B148" s="613" t="s">
        <v>1273</v>
      </c>
      <c r="C148" s="404" t="s">
        <v>541</v>
      </c>
      <c r="D148" s="452" t="s">
        <v>216</v>
      </c>
    </row>
    <row r="149" spans="2:4" x14ac:dyDescent="0.25">
      <c r="B149" s="613" t="s">
        <v>1274</v>
      </c>
      <c r="C149" s="430" t="s">
        <v>992</v>
      </c>
      <c r="D149" s="452" t="s">
        <v>216</v>
      </c>
    </row>
    <row r="150" spans="2:4" x14ac:dyDescent="0.25">
      <c r="B150" s="613" t="s">
        <v>715</v>
      </c>
      <c r="C150" s="404" t="s">
        <v>716</v>
      </c>
      <c r="D150" s="452" t="s">
        <v>216</v>
      </c>
    </row>
    <row r="151" spans="2:4" x14ac:dyDescent="0.25">
      <c r="B151" s="613" t="s">
        <v>1275</v>
      </c>
      <c r="C151" s="404" t="s">
        <v>695</v>
      </c>
      <c r="D151" s="452" t="s">
        <v>487</v>
      </c>
    </row>
    <row r="152" spans="2:4" x14ac:dyDescent="0.25">
      <c r="B152" s="613" t="s">
        <v>1276</v>
      </c>
      <c r="C152" s="404" t="s">
        <v>695</v>
      </c>
      <c r="D152" s="452" t="s">
        <v>487</v>
      </c>
    </row>
    <row r="153" spans="2:4" x14ac:dyDescent="0.25">
      <c r="B153" s="613" t="s">
        <v>1277</v>
      </c>
      <c r="C153" s="404" t="s">
        <v>700</v>
      </c>
      <c r="D153" s="452" t="s">
        <v>487</v>
      </c>
    </row>
    <row r="154" spans="2:4" x14ac:dyDescent="0.25">
      <c r="B154" s="613" t="s">
        <v>1278</v>
      </c>
      <c r="C154" s="404" t="s">
        <v>700</v>
      </c>
      <c r="D154" s="452" t="s">
        <v>487</v>
      </c>
    </row>
    <row r="155" spans="2:4" x14ac:dyDescent="0.25">
      <c r="B155" s="613" t="s">
        <v>1279</v>
      </c>
      <c r="C155" s="404" t="s">
        <v>700</v>
      </c>
      <c r="D155" s="452" t="s">
        <v>487</v>
      </c>
    </row>
    <row r="156" spans="2:4" x14ac:dyDescent="0.25">
      <c r="B156" s="613" t="s">
        <v>1280</v>
      </c>
      <c r="C156" s="404" t="s">
        <v>700</v>
      </c>
      <c r="D156" s="452" t="s">
        <v>487</v>
      </c>
    </row>
    <row r="157" spans="2:4" x14ac:dyDescent="0.25">
      <c r="B157" s="613" t="s">
        <v>737</v>
      </c>
      <c r="C157" s="404" t="s">
        <v>735</v>
      </c>
      <c r="D157" s="452" t="s">
        <v>216</v>
      </c>
    </row>
    <row r="158" spans="2:4" ht="15.75" thickBot="1" x14ac:dyDescent="0.3">
      <c r="B158" s="616" t="s">
        <v>737</v>
      </c>
      <c r="C158" s="388" t="s">
        <v>738</v>
      </c>
      <c r="D158" s="442" t="s">
        <v>216</v>
      </c>
    </row>
    <row r="159" spans="2:4" x14ac:dyDescent="0.25"/>
    <row r="160" spans="2:4" x14ac:dyDescent="0.25"/>
    <row r="161" spans="2:2" x14ac:dyDescent="0.25"/>
    <row r="162" spans="2:2" x14ac:dyDescent="0.25"/>
    <row r="163" spans="2:2" x14ac:dyDescent="0.25">
      <c r="B163" s="250"/>
    </row>
    <row r="164" spans="2:2" x14ac:dyDescent="0.25">
      <c r="B164" s="250"/>
    </row>
    <row r="165" spans="2:2" x14ac:dyDescent="0.25">
      <c r="B165" s="250"/>
    </row>
    <row r="166" spans="2:2" x14ac:dyDescent="0.25">
      <c r="B166" s="250"/>
    </row>
    <row r="167" spans="2:2" x14ac:dyDescent="0.25">
      <c r="B167" s="250"/>
    </row>
    <row r="168" spans="2:2" x14ac:dyDescent="0.25">
      <c r="B168" s="250"/>
    </row>
    <row r="169" spans="2:2" hidden="1" x14ac:dyDescent="0.25">
      <c r="B169" s="250"/>
    </row>
    <row r="170" spans="2:2" hidden="1" x14ac:dyDescent="0.25">
      <c r="B170" s="250"/>
    </row>
    <row r="171" spans="2:2" hidden="1" x14ac:dyDescent="0.25">
      <c r="B171" s="250"/>
    </row>
    <row r="172" spans="2:2" hidden="1" x14ac:dyDescent="0.25">
      <c r="B172" s="250"/>
    </row>
    <row r="173" spans="2:2" hidden="1" x14ac:dyDescent="0.25">
      <c r="B173" s="250"/>
    </row>
    <row r="174" spans="2:2" hidden="1" x14ac:dyDescent="0.25">
      <c r="B174" s="250"/>
    </row>
    <row r="175" spans="2:2" hidden="1" x14ac:dyDescent="0.25">
      <c r="B175" s="250"/>
    </row>
    <row r="176" spans="2:2" hidden="1" x14ac:dyDescent="0.25">
      <c r="B176" s="250"/>
    </row>
    <row r="177" spans="2:2" hidden="1" x14ac:dyDescent="0.25">
      <c r="B177" s="250"/>
    </row>
    <row r="178" spans="2:2" hidden="1" x14ac:dyDescent="0.25">
      <c r="B178" s="250"/>
    </row>
    <row r="179" spans="2:2" hidden="1" x14ac:dyDescent="0.25">
      <c r="B179" s="250"/>
    </row>
    <row r="180" spans="2:2" hidden="1" x14ac:dyDescent="0.25">
      <c r="B180" s="250"/>
    </row>
    <row r="181" spans="2:2" hidden="1" x14ac:dyDescent="0.25">
      <c r="B181" s="250"/>
    </row>
    <row r="182" spans="2:2" hidden="1" x14ac:dyDescent="0.25">
      <c r="B182" s="250"/>
    </row>
    <row r="183" spans="2:2" hidden="1" x14ac:dyDescent="0.25">
      <c r="B183" s="250"/>
    </row>
    <row r="184" spans="2:2" hidden="1" x14ac:dyDescent="0.25">
      <c r="B184" s="250"/>
    </row>
    <row r="185" spans="2:2" hidden="1" x14ac:dyDescent="0.25">
      <c r="B185" s="250"/>
    </row>
    <row r="186" spans="2:2" hidden="1" x14ac:dyDescent="0.25">
      <c r="B186" s="250"/>
    </row>
    <row r="187" spans="2:2" hidden="1" x14ac:dyDescent="0.25">
      <c r="B187" s="250"/>
    </row>
    <row r="188" spans="2:2" hidden="1" x14ac:dyDescent="0.25">
      <c r="B188" s="250"/>
    </row>
    <row r="189" spans="2:2" hidden="1" x14ac:dyDescent="0.25">
      <c r="B189" s="250"/>
    </row>
    <row r="190" spans="2:2" hidden="1" x14ac:dyDescent="0.25">
      <c r="B190" s="250"/>
    </row>
    <row r="191" spans="2:2" hidden="1" x14ac:dyDescent="0.25">
      <c r="B191" s="250"/>
    </row>
    <row r="192" spans="2:2" hidden="1" x14ac:dyDescent="0.25">
      <c r="B192" s="250"/>
    </row>
    <row r="193" spans="2:2" hidden="1" x14ac:dyDescent="0.25">
      <c r="B193" s="250"/>
    </row>
    <row r="194" spans="2:2" hidden="1" x14ac:dyDescent="0.25">
      <c r="B194" s="250"/>
    </row>
    <row r="195" spans="2:2" hidden="1" x14ac:dyDescent="0.25">
      <c r="B195" s="250"/>
    </row>
    <row r="196" spans="2:2" hidden="1" x14ac:dyDescent="0.25">
      <c r="B196" s="250"/>
    </row>
    <row r="197" spans="2:2" hidden="1" x14ac:dyDescent="0.25">
      <c r="B197" s="250"/>
    </row>
    <row r="198" spans="2:2" hidden="1" x14ac:dyDescent="0.25">
      <c r="B198" s="250"/>
    </row>
    <row r="199" spans="2:2" hidden="1" x14ac:dyDescent="0.25">
      <c r="B199" s="250"/>
    </row>
    <row r="200" spans="2:2" hidden="1" x14ac:dyDescent="0.25">
      <c r="B200" s="250"/>
    </row>
    <row r="201" spans="2:2" hidden="1" x14ac:dyDescent="0.25">
      <c r="B201" s="250"/>
    </row>
    <row r="202" spans="2:2" hidden="1" x14ac:dyDescent="0.25">
      <c r="B202" s="250"/>
    </row>
    <row r="203" spans="2:2" hidden="1" x14ac:dyDescent="0.25">
      <c r="B203" s="250"/>
    </row>
    <row r="204" spans="2:2" hidden="1" x14ac:dyDescent="0.25">
      <c r="B204" s="250"/>
    </row>
    <row r="205" spans="2:2" hidden="1" x14ac:dyDescent="0.25">
      <c r="B205" s="250"/>
    </row>
    <row r="206" spans="2:2" hidden="1" x14ac:dyDescent="0.25">
      <c r="B206" s="250"/>
    </row>
    <row r="207" spans="2:2" hidden="1" x14ac:dyDescent="0.25">
      <c r="B207" s="250"/>
    </row>
    <row r="208" spans="2:2" hidden="1" x14ac:dyDescent="0.25">
      <c r="B208" s="250"/>
    </row>
    <row r="209" spans="2:2" hidden="1" x14ac:dyDescent="0.25">
      <c r="B209" s="250"/>
    </row>
    <row r="210" spans="2:2" hidden="1" x14ac:dyDescent="0.25">
      <c r="B210" s="250"/>
    </row>
    <row r="211" spans="2:2" hidden="1" x14ac:dyDescent="0.25">
      <c r="B211" s="250"/>
    </row>
    <row r="212" spans="2:2" hidden="1" x14ac:dyDescent="0.25">
      <c r="B212" s="250"/>
    </row>
    <row r="213" spans="2:2" hidden="1" x14ac:dyDescent="0.25">
      <c r="B213" s="250"/>
    </row>
    <row r="214" spans="2:2" hidden="1" x14ac:dyDescent="0.25">
      <c r="B214" s="250"/>
    </row>
    <row r="215" spans="2:2" hidden="1" x14ac:dyDescent="0.25">
      <c r="B215" s="250"/>
    </row>
    <row r="216" spans="2:2" hidden="1" x14ac:dyDescent="0.25">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80" zoomScaleNormal="80" workbookViewId="0"/>
  </sheetViews>
  <sheetFormatPr defaultColWidth="8.7109375" defaultRowHeight="15.75" x14ac:dyDescent="0.2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85546875" style="557" customWidth="1"/>
    <col min="19" max="19" width="26.140625" style="557" customWidth="1"/>
    <col min="20" max="20" width="12.42578125" style="557" customWidth="1"/>
    <col min="21" max="25" width="8.7109375" style="557"/>
    <col min="26" max="26" width="17.85546875" style="557" customWidth="1"/>
    <col min="27" max="27" width="49.140625" style="557" customWidth="1"/>
    <col min="28" max="16384" width="8.7109375" style="557"/>
  </cols>
  <sheetData>
    <row r="1" spans="2:34" ht="16.5" thickBot="1" x14ac:dyDescent="0.3"/>
    <row r="2" spans="2:34" ht="24.95" customHeight="1" x14ac:dyDescent="0.25">
      <c r="B2" s="1057" t="s">
        <v>30</v>
      </c>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9"/>
    </row>
    <row r="3" spans="2:34" ht="15" customHeight="1" thickBot="1" x14ac:dyDescent="0.3">
      <c r="B3" s="1060"/>
      <c r="C3" s="1061"/>
      <c r="D3" s="1061"/>
      <c r="E3" s="1061"/>
      <c r="F3" s="1061"/>
      <c r="G3" s="1061"/>
      <c r="H3" s="1061"/>
      <c r="I3" s="1061"/>
      <c r="J3" s="1061"/>
      <c r="K3" s="1061"/>
      <c r="L3" s="1061"/>
      <c r="M3" s="1061"/>
      <c r="N3" s="1061"/>
      <c r="O3" s="1061"/>
      <c r="P3" s="1061"/>
      <c r="Q3" s="1061"/>
      <c r="R3" s="1061"/>
      <c r="S3" s="1061"/>
      <c r="T3" s="1061"/>
      <c r="U3" s="1061"/>
      <c r="V3" s="1061"/>
      <c r="W3" s="1061"/>
      <c r="X3" s="1061"/>
      <c r="Y3" s="1061"/>
      <c r="Z3" s="1061"/>
      <c r="AA3" s="1062"/>
    </row>
    <row r="4" spans="2:34" ht="15.6" customHeight="1" x14ac:dyDescent="0.25">
      <c r="B4" s="1048" t="s">
        <v>31</v>
      </c>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50"/>
    </row>
    <row r="5" spans="2:34" ht="5.0999999999999996" customHeight="1" thickBot="1" x14ac:dyDescent="0.3">
      <c r="B5" s="1051"/>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3"/>
    </row>
    <row r="6" spans="2:34" ht="15.6" hidden="1" customHeight="1" x14ac:dyDescent="0.25">
      <c r="B6" s="1051"/>
      <c r="C6" s="1052"/>
      <c r="D6" s="1052"/>
      <c r="E6" s="1052"/>
      <c r="F6" s="1052"/>
      <c r="G6" s="1052"/>
      <c r="H6" s="1052"/>
      <c r="I6" s="1052"/>
      <c r="J6" s="1052"/>
      <c r="K6" s="1052"/>
      <c r="L6" s="1052"/>
      <c r="M6" s="1052"/>
      <c r="N6" s="1052"/>
      <c r="O6" s="1052"/>
      <c r="P6" s="1052"/>
      <c r="Q6" s="1052"/>
      <c r="R6" s="1052"/>
      <c r="S6" s="1052"/>
      <c r="T6" s="1052"/>
      <c r="U6" s="1052"/>
      <c r="V6" s="1052"/>
      <c r="W6" s="1052"/>
      <c r="X6" s="1052"/>
      <c r="Y6" s="1052"/>
      <c r="Z6" s="1052"/>
      <c r="AA6" s="1053"/>
    </row>
    <row r="7" spans="2:34" ht="14.1" hidden="1" customHeight="1" x14ac:dyDescent="0.25">
      <c r="B7" s="1051"/>
      <c r="C7" s="1052"/>
      <c r="D7" s="1052"/>
      <c r="E7" s="1052"/>
      <c r="F7" s="1052"/>
      <c r="G7" s="1052"/>
      <c r="H7" s="1052"/>
      <c r="I7" s="1052"/>
      <c r="J7" s="1052"/>
      <c r="K7" s="1052"/>
      <c r="L7" s="1052"/>
      <c r="M7" s="1052"/>
      <c r="N7" s="1052"/>
      <c r="O7" s="1052"/>
      <c r="P7" s="1052"/>
      <c r="Q7" s="1052"/>
      <c r="R7" s="1052"/>
      <c r="S7" s="1052"/>
      <c r="T7" s="1052"/>
      <c r="U7" s="1052"/>
      <c r="V7" s="1052"/>
      <c r="W7" s="1052"/>
      <c r="X7" s="1052"/>
      <c r="Y7" s="1052"/>
      <c r="Z7" s="1052"/>
      <c r="AA7" s="1053"/>
    </row>
    <row r="8" spans="2:34" ht="23.1" hidden="1" customHeight="1" thickBot="1" x14ac:dyDescent="0.3">
      <c r="B8" s="1054"/>
      <c r="C8" s="1055"/>
      <c r="D8" s="1055"/>
      <c r="E8" s="1055"/>
      <c r="F8" s="1055"/>
      <c r="G8" s="1055"/>
      <c r="H8" s="1055"/>
      <c r="I8" s="1055"/>
      <c r="J8" s="1055"/>
      <c r="K8" s="1055"/>
      <c r="L8" s="1055"/>
      <c r="M8" s="1055"/>
      <c r="N8" s="1055"/>
      <c r="O8" s="1055"/>
      <c r="P8" s="1055"/>
      <c r="Q8" s="1055"/>
      <c r="R8" s="1055"/>
      <c r="S8" s="1055"/>
      <c r="T8" s="1055"/>
      <c r="U8" s="1055"/>
      <c r="V8" s="1055"/>
      <c r="W8" s="1055"/>
      <c r="X8" s="1055"/>
      <c r="Y8" s="1055"/>
      <c r="Z8" s="1055"/>
      <c r="AA8" s="1056"/>
    </row>
    <row r="9" spans="2:34" s="591" customFormat="1" ht="39.950000000000003" customHeight="1" thickBot="1" x14ac:dyDescent="0.3">
      <c r="B9" s="1035" t="s">
        <v>32</v>
      </c>
      <c r="C9" s="1036"/>
      <c r="D9" s="1063"/>
      <c r="E9" s="1035" t="s">
        <v>33</v>
      </c>
      <c r="F9" s="1036"/>
      <c r="G9" s="1036"/>
      <c r="H9" s="1036"/>
      <c r="I9" s="1036"/>
      <c r="J9" s="1063"/>
      <c r="K9" s="1035" t="s">
        <v>34</v>
      </c>
      <c r="L9" s="1063"/>
      <c r="M9" s="1035" t="s">
        <v>35</v>
      </c>
      <c r="N9" s="1063"/>
      <c r="O9" s="1037" t="s">
        <v>36</v>
      </c>
      <c r="P9" s="1038"/>
      <c r="Q9" s="1038"/>
      <c r="R9" s="1039"/>
      <c r="S9" s="1037" t="s">
        <v>37</v>
      </c>
      <c r="T9" s="1039"/>
      <c r="U9" s="1035" t="s">
        <v>38</v>
      </c>
      <c r="V9" s="1036"/>
      <c r="W9" s="1036"/>
      <c r="X9" s="1036"/>
      <c r="Y9" s="1036"/>
      <c r="Z9" s="1029" t="s">
        <v>1679</v>
      </c>
      <c r="AA9" s="1030"/>
    </row>
    <row r="10" spans="2:34" s="676" customFormat="1" ht="44.45" customHeight="1" x14ac:dyDescent="0.25">
      <c r="B10" s="1070"/>
      <c r="C10" s="1071"/>
      <c r="D10" s="1072"/>
      <c r="E10" s="1033"/>
      <c r="F10" s="1064"/>
      <c r="G10" s="1064"/>
      <c r="H10" s="1064"/>
      <c r="I10" s="1064"/>
      <c r="J10" s="1034"/>
      <c r="K10" s="1068"/>
      <c r="L10" s="1069"/>
      <c r="M10" s="1068"/>
      <c r="N10" s="1069"/>
      <c r="O10" s="1033"/>
      <c r="P10" s="1064"/>
      <c r="Q10" s="1064"/>
      <c r="R10" s="1034"/>
      <c r="S10" s="1033"/>
      <c r="T10" s="1034"/>
      <c r="U10" s="1033"/>
      <c r="V10" s="1064"/>
      <c r="W10" s="1064"/>
      <c r="X10" s="1064"/>
      <c r="Y10" s="1064"/>
      <c r="Z10" s="675"/>
      <c r="AA10" s="674" t="str">
        <f>IF(AND($O10="Lost", $Z10&lt;&gt;"Yes"), "Irreplaceable habitat lost, bespoke compensation must be agreed with concenting body ▲", "")</f>
        <v/>
      </c>
      <c r="AB10" s="1088" t="str">
        <f>IF(S10="Yes","Please provide a reference to the row number within the baseline where this habitat is mentioned ⚠", "")</f>
        <v/>
      </c>
      <c r="AC10" s="1088"/>
      <c r="AD10" s="1088"/>
      <c r="AE10" s="1088"/>
      <c r="AF10" s="1088"/>
      <c r="AG10" s="1088"/>
      <c r="AH10" s="1088"/>
    </row>
    <row r="11" spans="2:34" s="593" customFormat="1" ht="44.45" customHeight="1" x14ac:dyDescent="0.25">
      <c r="B11" s="986"/>
      <c r="C11" s="987"/>
      <c r="D11" s="988"/>
      <c r="E11" s="1022"/>
      <c r="F11" s="1023"/>
      <c r="G11" s="1023"/>
      <c r="H11" s="1023"/>
      <c r="I11" s="1023"/>
      <c r="J11" s="1024"/>
      <c r="K11" s="1025"/>
      <c r="L11" s="1026"/>
      <c r="M11" s="1025"/>
      <c r="N11" s="1026"/>
      <c r="O11" s="1045"/>
      <c r="P11" s="1046"/>
      <c r="Q11" s="1046"/>
      <c r="R11" s="1047"/>
      <c r="S11" s="1033"/>
      <c r="T11" s="1034"/>
      <c r="U11" s="1085"/>
      <c r="V11" s="1086"/>
      <c r="W11" s="1086"/>
      <c r="X11" s="1086"/>
      <c r="Y11" s="1086"/>
      <c r="Z11" s="677"/>
      <c r="AA11" s="674" t="str">
        <f t="shared" ref="AA11:AA31" si="0">IF(AND($O11="Lost", $Z11&lt;&gt;"Yes"), "Irreplaceable habitat lost, bespoke compensation must be agreed with concenting body ▲", "")</f>
        <v/>
      </c>
      <c r="AB11" s="1088" t="str">
        <f t="shared" ref="AB11:AB31" si="1">IF(S11="Yes","Please provide a reference to the row number within the baseline where this habitat is mentioned ⚠", "")</f>
        <v/>
      </c>
      <c r="AC11" s="1088"/>
      <c r="AD11" s="1088"/>
      <c r="AE11" s="1088"/>
      <c r="AF11" s="1088"/>
      <c r="AG11" s="1088"/>
      <c r="AH11" s="1088"/>
    </row>
    <row r="12" spans="2:34" s="593" customFormat="1" ht="44.45" customHeight="1" x14ac:dyDescent="0.25">
      <c r="B12" s="986"/>
      <c r="C12" s="987"/>
      <c r="D12" s="988"/>
      <c r="E12" s="1022"/>
      <c r="F12" s="1023"/>
      <c r="G12" s="1023"/>
      <c r="H12" s="1023"/>
      <c r="I12" s="1023"/>
      <c r="J12" s="1024"/>
      <c r="K12" s="1025"/>
      <c r="L12" s="1026"/>
      <c r="M12" s="1025"/>
      <c r="N12" s="1026"/>
      <c r="O12" s="1045"/>
      <c r="P12" s="1046"/>
      <c r="Q12" s="1046"/>
      <c r="R12" s="1047"/>
      <c r="S12" s="1033"/>
      <c r="T12" s="1034"/>
      <c r="U12" s="1022"/>
      <c r="V12" s="1023"/>
      <c r="W12" s="1023"/>
      <c r="X12" s="1023"/>
      <c r="Y12" s="1023"/>
      <c r="Z12" s="677"/>
      <c r="AA12" s="674" t="str">
        <f t="shared" si="0"/>
        <v/>
      </c>
      <c r="AB12" s="1087" t="str">
        <f t="shared" si="1"/>
        <v/>
      </c>
      <c r="AC12" s="1087"/>
      <c r="AD12" s="1087"/>
      <c r="AE12" s="1087"/>
      <c r="AF12" s="1087"/>
      <c r="AG12" s="1087"/>
      <c r="AH12" s="1087"/>
    </row>
    <row r="13" spans="2:34" s="593" customFormat="1" ht="44.45" customHeight="1" x14ac:dyDescent="0.25">
      <c r="B13" s="986"/>
      <c r="C13" s="987"/>
      <c r="D13" s="988"/>
      <c r="E13" s="1022"/>
      <c r="F13" s="1023"/>
      <c r="G13" s="1023"/>
      <c r="H13" s="1023"/>
      <c r="I13" s="1023"/>
      <c r="J13" s="1024"/>
      <c r="K13" s="1025"/>
      <c r="L13" s="1026"/>
      <c r="M13" s="1025"/>
      <c r="N13" s="1026"/>
      <c r="O13" s="1045"/>
      <c r="P13" s="1046"/>
      <c r="Q13" s="1046"/>
      <c r="R13" s="1047"/>
      <c r="S13" s="1033"/>
      <c r="T13" s="1034"/>
      <c r="U13" s="1022"/>
      <c r="V13" s="1023"/>
      <c r="W13" s="1023"/>
      <c r="X13" s="1023"/>
      <c r="Y13" s="1023"/>
      <c r="Z13" s="677"/>
      <c r="AA13" s="674" t="str">
        <f t="shared" si="0"/>
        <v/>
      </c>
      <c r="AB13" s="1087" t="str">
        <f t="shared" si="1"/>
        <v/>
      </c>
      <c r="AC13" s="1087"/>
      <c r="AD13" s="1087"/>
      <c r="AE13" s="1087"/>
      <c r="AF13" s="1087"/>
      <c r="AG13" s="1087"/>
      <c r="AH13" s="1087"/>
    </row>
    <row r="14" spans="2:34" s="593" customFormat="1" ht="44.45" customHeight="1" x14ac:dyDescent="0.25">
      <c r="B14" s="986"/>
      <c r="C14" s="987"/>
      <c r="D14" s="988"/>
      <c r="E14" s="1022"/>
      <c r="F14" s="1023"/>
      <c r="G14" s="1023"/>
      <c r="H14" s="1023"/>
      <c r="I14" s="1023"/>
      <c r="J14" s="1024"/>
      <c r="K14" s="1025"/>
      <c r="L14" s="1026"/>
      <c r="M14" s="1025"/>
      <c r="N14" s="1026"/>
      <c r="O14" s="1045"/>
      <c r="P14" s="1046"/>
      <c r="Q14" s="1046"/>
      <c r="R14" s="1047"/>
      <c r="S14" s="1033"/>
      <c r="T14" s="1034"/>
      <c r="U14" s="1022"/>
      <c r="V14" s="1023"/>
      <c r="W14" s="1023"/>
      <c r="X14" s="1023"/>
      <c r="Y14" s="1023"/>
      <c r="Z14" s="677"/>
      <c r="AA14" s="674" t="str">
        <f t="shared" si="0"/>
        <v/>
      </c>
      <c r="AB14" s="1087" t="str">
        <f t="shared" si="1"/>
        <v/>
      </c>
      <c r="AC14" s="1087"/>
      <c r="AD14" s="1087"/>
      <c r="AE14" s="1087"/>
      <c r="AF14" s="1087"/>
      <c r="AG14" s="1087"/>
      <c r="AH14" s="1087"/>
    </row>
    <row r="15" spans="2:34" s="593" customFormat="1" ht="44.45" customHeight="1" x14ac:dyDescent="0.25">
      <c r="B15" s="986"/>
      <c r="C15" s="987"/>
      <c r="D15" s="988"/>
      <c r="E15" s="1022"/>
      <c r="F15" s="1023"/>
      <c r="G15" s="1023"/>
      <c r="H15" s="1023"/>
      <c r="I15" s="1023"/>
      <c r="J15" s="1024"/>
      <c r="K15" s="1025"/>
      <c r="L15" s="1026"/>
      <c r="M15" s="1025"/>
      <c r="N15" s="1026"/>
      <c r="O15" s="1045"/>
      <c r="P15" s="1046"/>
      <c r="Q15" s="1046"/>
      <c r="R15" s="1047"/>
      <c r="S15" s="1033"/>
      <c r="T15" s="1034"/>
      <c r="U15" s="1022"/>
      <c r="V15" s="1023"/>
      <c r="W15" s="1023"/>
      <c r="X15" s="1023"/>
      <c r="Y15" s="1023"/>
      <c r="Z15" s="677"/>
      <c r="AA15" s="674" t="str">
        <f t="shared" si="0"/>
        <v/>
      </c>
      <c r="AB15" s="1087" t="str">
        <f t="shared" si="1"/>
        <v/>
      </c>
      <c r="AC15" s="1087"/>
      <c r="AD15" s="1087"/>
      <c r="AE15" s="1087"/>
      <c r="AF15" s="1087"/>
      <c r="AG15" s="1087"/>
      <c r="AH15" s="1087"/>
    </row>
    <row r="16" spans="2:34" s="593" customFormat="1" ht="44.45" customHeight="1" x14ac:dyDescent="0.25">
      <c r="B16" s="986"/>
      <c r="C16" s="987"/>
      <c r="D16" s="988"/>
      <c r="E16" s="1022"/>
      <c r="F16" s="1023"/>
      <c r="G16" s="1023"/>
      <c r="H16" s="1023"/>
      <c r="I16" s="1023"/>
      <c r="J16" s="1024"/>
      <c r="K16" s="1025"/>
      <c r="L16" s="1026"/>
      <c r="M16" s="1025"/>
      <c r="N16" s="1026"/>
      <c r="O16" s="1045"/>
      <c r="P16" s="1046"/>
      <c r="Q16" s="1046"/>
      <c r="R16" s="1047"/>
      <c r="S16" s="1033"/>
      <c r="T16" s="1034"/>
      <c r="U16" s="1022"/>
      <c r="V16" s="1023"/>
      <c r="W16" s="1023"/>
      <c r="X16" s="1023"/>
      <c r="Y16" s="1023"/>
      <c r="Z16" s="677"/>
      <c r="AA16" s="674" t="str">
        <f t="shared" si="0"/>
        <v/>
      </c>
      <c r="AB16" s="1087" t="str">
        <f t="shared" si="1"/>
        <v/>
      </c>
      <c r="AC16" s="1087"/>
      <c r="AD16" s="1087"/>
      <c r="AE16" s="1087"/>
      <c r="AF16" s="1087"/>
      <c r="AG16" s="1087"/>
      <c r="AH16" s="1087"/>
    </row>
    <row r="17" spans="2:34" s="593" customFormat="1" ht="44.45" customHeight="1" x14ac:dyDescent="0.25">
      <c r="B17" s="986"/>
      <c r="C17" s="987"/>
      <c r="D17" s="988"/>
      <c r="E17" s="1022"/>
      <c r="F17" s="1023"/>
      <c r="G17" s="1023"/>
      <c r="H17" s="1023"/>
      <c r="I17" s="1023"/>
      <c r="J17" s="1024"/>
      <c r="K17" s="1025"/>
      <c r="L17" s="1026"/>
      <c r="M17" s="1025"/>
      <c r="N17" s="1026"/>
      <c r="O17" s="1045"/>
      <c r="P17" s="1046"/>
      <c r="Q17" s="1046"/>
      <c r="R17" s="1047"/>
      <c r="S17" s="1033"/>
      <c r="T17" s="1034"/>
      <c r="U17" s="1022"/>
      <c r="V17" s="1023"/>
      <c r="W17" s="1023"/>
      <c r="X17" s="1023"/>
      <c r="Y17" s="1023"/>
      <c r="Z17" s="677"/>
      <c r="AA17" s="674" t="str">
        <f t="shared" si="0"/>
        <v/>
      </c>
      <c r="AB17" s="1087" t="str">
        <f t="shared" si="1"/>
        <v/>
      </c>
      <c r="AC17" s="1087"/>
      <c r="AD17" s="1087"/>
      <c r="AE17" s="1087"/>
      <c r="AF17" s="1087"/>
      <c r="AG17" s="1087"/>
      <c r="AH17" s="1087"/>
    </row>
    <row r="18" spans="2:34" s="593" customFormat="1" ht="44.45" customHeight="1" x14ac:dyDescent="0.25">
      <c r="B18" s="986"/>
      <c r="C18" s="987"/>
      <c r="D18" s="988"/>
      <c r="E18" s="1022"/>
      <c r="F18" s="1023"/>
      <c r="G18" s="1023"/>
      <c r="H18" s="1023"/>
      <c r="I18" s="1023"/>
      <c r="J18" s="1024"/>
      <c r="K18" s="1025"/>
      <c r="L18" s="1026"/>
      <c r="M18" s="1025"/>
      <c r="N18" s="1026"/>
      <c r="O18" s="1045"/>
      <c r="P18" s="1046"/>
      <c r="Q18" s="1046"/>
      <c r="R18" s="1047"/>
      <c r="S18" s="1033"/>
      <c r="T18" s="1034"/>
      <c r="U18" s="1022"/>
      <c r="V18" s="1023"/>
      <c r="W18" s="1023"/>
      <c r="X18" s="1023"/>
      <c r="Y18" s="1023"/>
      <c r="Z18" s="677"/>
      <c r="AA18" s="674" t="str">
        <f t="shared" si="0"/>
        <v/>
      </c>
      <c r="AB18" s="1087" t="str">
        <f t="shared" si="1"/>
        <v/>
      </c>
      <c r="AC18" s="1087"/>
      <c r="AD18" s="1087"/>
      <c r="AE18" s="1087"/>
      <c r="AF18" s="1087"/>
      <c r="AG18" s="1087"/>
      <c r="AH18" s="1087"/>
    </row>
    <row r="19" spans="2:34" s="593" customFormat="1" ht="44.45" customHeight="1" x14ac:dyDescent="0.25">
      <c r="B19" s="986"/>
      <c r="C19" s="987"/>
      <c r="D19" s="988"/>
      <c r="E19" s="1022"/>
      <c r="F19" s="1023"/>
      <c r="G19" s="1023"/>
      <c r="H19" s="1023"/>
      <c r="I19" s="1023"/>
      <c r="J19" s="1024"/>
      <c r="K19" s="1025"/>
      <c r="L19" s="1026"/>
      <c r="M19" s="1025"/>
      <c r="N19" s="1026"/>
      <c r="O19" s="1045"/>
      <c r="P19" s="1046"/>
      <c r="Q19" s="1046"/>
      <c r="R19" s="1047"/>
      <c r="S19" s="1033"/>
      <c r="T19" s="1034"/>
      <c r="U19" s="1022"/>
      <c r="V19" s="1023"/>
      <c r="W19" s="1023"/>
      <c r="X19" s="1023"/>
      <c r="Y19" s="1023"/>
      <c r="Z19" s="677"/>
      <c r="AA19" s="674" t="str">
        <f t="shared" si="0"/>
        <v/>
      </c>
      <c r="AB19" s="1087" t="str">
        <f t="shared" si="1"/>
        <v/>
      </c>
      <c r="AC19" s="1087"/>
      <c r="AD19" s="1087"/>
      <c r="AE19" s="1087"/>
      <c r="AF19" s="1087"/>
      <c r="AG19" s="1087"/>
      <c r="AH19" s="1087"/>
    </row>
    <row r="20" spans="2:34" s="593" customFormat="1" ht="44.45" customHeight="1" x14ac:dyDescent="0.25">
      <c r="B20" s="986"/>
      <c r="C20" s="987"/>
      <c r="D20" s="988"/>
      <c r="E20" s="1022"/>
      <c r="F20" s="1023"/>
      <c r="G20" s="1023"/>
      <c r="H20" s="1023"/>
      <c r="I20" s="1023"/>
      <c r="J20" s="1024"/>
      <c r="K20" s="1025"/>
      <c r="L20" s="1026"/>
      <c r="M20" s="1025"/>
      <c r="N20" s="1026"/>
      <c r="O20" s="1045"/>
      <c r="P20" s="1046"/>
      <c r="Q20" s="1046"/>
      <c r="R20" s="1047"/>
      <c r="S20" s="1033"/>
      <c r="T20" s="1034"/>
      <c r="U20" s="1022"/>
      <c r="V20" s="1023"/>
      <c r="W20" s="1023"/>
      <c r="X20" s="1023"/>
      <c r="Y20" s="1023"/>
      <c r="Z20" s="677"/>
      <c r="AA20" s="674" t="str">
        <f t="shared" si="0"/>
        <v/>
      </c>
      <c r="AB20" s="1087" t="str">
        <f t="shared" si="1"/>
        <v/>
      </c>
      <c r="AC20" s="1087"/>
      <c r="AD20" s="1087"/>
      <c r="AE20" s="1087"/>
      <c r="AF20" s="1087"/>
      <c r="AG20" s="1087"/>
      <c r="AH20" s="1087"/>
    </row>
    <row r="21" spans="2:34" s="593" customFormat="1" ht="44.45" customHeight="1" x14ac:dyDescent="0.25">
      <c r="B21" s="986"/>
      <c r="C21" s="987"/>
      <c r="D21" s="988"/>
      <c r="E21" s="1022"/>
      <c r="F21" s="1023"/>
      <c r="G21" s="1023"/>
      <c r="H21" s="1023"/>
      <c r="I21" s="1023"/>
      <c r="J21" s="1024"/>
      <c r="K21" s="1025"/>
      <c r="L21" s="1026"/>
      <c r="M21" s="1025"/>
      <c r="N21" s="1026"/>
      <c r="O21" s="1045"/>
      <c r="P21" s="1046"/>
      <c r="Q21" s="1046"/>
      <c r="R21" s="1047"/>
      <c r="S21" s="1033"/>
      <c r="T21" s="1034"/>
      <c r="U21" s="1022"/>
      <c r="V21" s="1023"/>
      <c r="W21" s="1023"/>
      <c r="X21" s="1023"/>
      <c r="Y21" s="1023"/>
      <c r="Z21" s="677"/>
      <c r="AA21" s="674" t="str">
        <f t="shared" si="0"/>
        <v/>
      </c>
      <c r="AB21" s="1087" t="str">
        <f t="shared" si="1"/>
        <v/>
      </c>
      <c r="AC21" s="1087"/>
      <c r="AD21" s="1087"/>
      <c r="AE21" s="1087"/>
      <c r="AF21" s="1087"/>
      <c r="AG21" s="1087"/>
      <c r="AH21" s="1087"/>
    </row>
    <row r="22" spans="2:34" s="593" customFormat="1" ht="44.45" customHeight="1" x14ac:dyDescent="0.25">
      <c r="B22" s="986"/>
      <c r="C22" s="987"/>
      <c r="D22" s="988"/>
      <c r="E22" s="1022"/>
      <c r="F22" s="1023"/>
      <c r="G22" s="1023"/>
      <c r="H22" s="1023"/>
      <c r="I22" s="1023"/>
      <c r="J22" s="1024"/>
      <c r="K22" s="1025"/>
      <c r="L22" s="1026"/>
      <c r="M22" s="1025"/>
      <c r="N22" s="1026"/>
      <c r="O22" s="1045"/>
      <c r="P22" s="1046"/>
      <c r="Q22" s="1046"/>
      <c r="R22" s="1047"/>
      <c r="S22" s="1033"/>
      <c r="T22" s="1034"/>
      <c r="U22" s="1022"/>
      <c r="V22" s="1023"/>
      <c r="W22" s="1023"/>
      <c r="X22" s="1023"/>
      <c r="Y22" s="1023"/>
      <c r="Z22" s="677"/>
      <c r="AA22" s="674" t="str">
        <f t="shared" si="0"/>
        <v/>
      </c>
      <c r="AB22" s="1087" t="str">
        <f t="shared" si="1"/>
        <v/>
      </c>
      <c r="AC22" s="1087"/>
      <c r="AD22" s="1087"/>
      <c r="AE22" s="1087"/>
      <c r="AF22" s="1087"/>
      <c r="AG22" s="1087"/>
      <c r="AH22" s="1087"/>
    </row>
    <row r="23" spans="2:34" s="593" customFormat="1" ht="44.45" customHeight="1" x14ac:dyDescent="0.25">
      <c r="B23" s="986"/>
      <c r="C23" s="987"/>
      <c r="D23" s="988"/>
      <c r="E23" s="1022"/>
      <c r="F23" s="1023"/>
      <c r="G23" s="1023"/>
      <c r="H23" s="1023"/>
      <c r="I23" s="1023"/>
      <c r="J23" s="1024"/>
      <c r="K23" s="1025"/>
      <c r="L23" s="1026"/>
      <c r="M23" s="1025"/>
      <c r="N23" s="1026"/>
      <c r="O23" s="1045"/>
      <c r="P23" s="1046"/>
      <c r="Q23" s="1046"/>
      <c r="R23" s="1047"/>
      <c r="S23" s="1033"/>
      <c r="T23" s="1034"/>
      <c r="U23" s="1022"/>
      <c r="V23" s="1023"/>
      <c r="W23" s="1023"/>
      <c r="X23" s="1023"/>
      <c r="Y23" s="1023"/>
      <c r="Z23" s="677"/>
      <c r="AA23" s="674" t="str">
        <f t="shared" si="0"/>
        <v/>
      </c>
      <c r="AB23" s="1087" t="str">
        <f t="shared" si="1"/>
        <v/>
      </c>
      <c r="AC23" s="1087"/>
      <c r="AD23" s="1087"/>
      <c r="AE23" s="1087"/>
      <c r="AF23" s="1087"/>
      <c r="AG23" s="1087"/>
      <c r="AH23" s="1087"/>
    </row>
    <row r="24" spans="2:34" s="593" customFormat="1" ht="44.45" customHeight="1" x14ac:dyDescent="0.25">
      <c r="B24" s="986"/>
      <c r="C24" s="987"/>
      <c r="D24" s="988"/>
      <c r="E24" s="1022"/>
      <c r="F24" s="1023"/>
      <c r="G24" s="1023"/>
      <c r="H24" s="1023"/>
      <c r="I24" s="1023"/>
      <c r="J24" s="1024"/>
      <c r="K24" s="1025"/>
      <c r="L24" s="1026"/>
      <c r="M24" s="1025"/>
      <c r="N24" s="1026"/>
      <c r="O24" s="1045"/>
      <c r="P24" s="1046"/>
      <c r="Q24" s="1046"/>
      <c r="R24" s="1047"/>
      <c r="S24" s="1033"/>
      <c r="T24" s="1034"/>
      <c r="U24" s="1022"/>
      <c r="V24" s="1023"/>
      <c r="W24" s="1023"/>
      <c r="X24" s="1023"/>
      <c r="Y24" s="1023"/>
      <c r="Z24" s="677"/>
      <c r="AA24" s="674" t="str">
        <f t="shared" si="0"/>
        <v/>
      </c>
      <c r="AB24" s="1087" t="str">
        <f t="shared" si="1"/>
        <v/>
      </c>
      <c r="AC24" s="1087"/>
      <c r="AD24" s="1087"/>
      <c r="AE24" s="1087"/>
      <c r="AF24" s="1087"/>
      <c r="AG24" s="1087"/>
      <c r="AH24" s="1087"/>
    </row>
    <row r="25" spans="2:34" s="593" customFormat="1" ht="44.45" customHeight="1" x14ac:dyDescent="0.25">
      <c r="B25" s="986"/>
      <c r="C25" s="987"/>
      <c r="D25" s="988"/>
      <c r="E25" s="1022"/>
      <c r="F25" s="1023"/>
      <c r="G25" s="1023"/>
      <c r="H25" s="1023"/>
      <c r="I25" s="1023"/>
      <c r="J25" s="1024"/>
      <c r="K25" s="1081"/>
      <c r="L25" s="1082"/>
      <c r="M25" s="1025"/>
      <c r="N25" s="1026"/>
      <c r="O25" s="1045"/>
      <c r="P25" s="1046"/>
      <c r="Q25" s="1046"/>
      <c r="R25" s="1047"/>
      <c r="S25" s="1033"/>
      <c r="T25" s="1034"/>
      <c r="U25" s="1022"/>
      <c r="V25" s="1023"/>
      <c r="W25" s="1023"/>
      <c r="X25" s="1023"/>
      <c r="Y25" s="1023"/>
      <c r="Z25" s="677"/>
      <c r="AA25" s="674" t="str">
        <f t="shared" si="0"/>
        <v/>
      </c>
      <c r="AB25" s="1087" t="str">
        <f t="shared" si="1"/>
        <v/>
      </c>
      <c r="AC25" s="1087"/>
      <c r="AD25" s="1087"/>
      <c r="AE25" s="1087"/>
      <c r="AF25" s="1087"/>
      <c r="AG25" s="1087"/>
      <c r="AH25" s="1087"/>
    </row>
    <row r="26" spans="2:34" s="593" customFormat="1" ht="44.45" customHeight="1" x14ac:dyDescent="0.25">
      <c r="B26" s="986"/>
      <c r="C26" s="987"/>
      <c r="D26" s="988"/>
      <c r="E26" s="1022"/>
      <c r="F26" s="1023"/>
      <c r="G26" s="1023"/>
      <c r="H26" s="1023"/>
      <c r="I26" s="1023"/>
      <c r="J26" s="1024"/>
      <c r="K26" s="1025"/>
      <c r="L26" s="1026"/>
      <c r="M26" s="1025"/>
      <c r="N26" s="1026"/>
      <c r="O26" s="1045"/>
      <c r="P26" s="1046"/>
      <c r="Q26" s="1046"/>
      <c r="R26" s="1047"/>
      <c r="S26" s="1033"/>
      <c r="T26" s="1034"/>
      <c r="U26" s="1022"/>
      <c r="V26" s="1023"/>
      <c r="W26" s="1023"/>
      <c r="X26" s="1023"/>
      <c r="Y26" s="1023"/>
      <c r="Z26" s="677"/>
      <c r="AA26" s="674" t="str">
        <f t="shared" si="0"/>
        <v/>
      </c>
      <c r="AB26" s="1087" t="str">
        <f t="shared" si="1"/>
        <v/>
      </c>
      <c r="AC26" s="1087"/>
      <c r="AD26" s="1087"/>
      <c r="AE26" s="1087"/>
      <c r="AF26" s="1087"/>
      <c r="AG26" s="1087"/>
      <c r="AH26" s="1087"/>
    </row>
    <row r="27" spans="2:34" s="593" customFormat="1" ht="44.45" customHeight="1" x14ac:dyDescent="0.25">
      <c r="B27" s="986"/>
      <c r="C27" s="987"/>
      <c r="D27" s="988"/>
      <c r="E27" s="1022"/>
      <c r="F27" s="1023"/>
      <c r="G27" s="1023"/>
      <c r="H27" s="1023"/>
      <c r="I27" s="1023"/>
      <c r="J27" s="1024"/>
      <c r="K27" s="1025"/>
      <c r="L27" s="1026"/>
      <c r="M27" s="1025"/>
      <c r="N27" s="1026"/>
      <c r="O27" s="1045"/>
      <c r="P27" s="1046"/>
      <c r="Q27" s="1046"/>
      <c r="R27" s="1047"/>
      <c r="S27" s="1033"/>
      <c r="T27" s="1034"/>
      <c r="U27" s="1022"/>
      <c r="V27" s="1023"/>
      <c r="W27" s="1023"/>
      <c r="X27" s="1023"/>
      <c r="Y27" s="1023"/>
      <c r="Z27" s="677"/>
      <c r="AA27" s="674" t="str">
        <f t="shared" si="0"/>
        <v/>
      </c>
      <c r="AB27" s="1087" t="str">
        <f t="shared" si="1"/>
        <v/>
      </c>
      <c r="AC27" s="1087"/>
      <c r="AD27" s="1087"/>
      <c r="AE27" s="1087"/>
      <c r="AF27" s="1087"/>
      <c r="AG27" s="1087"/>
      <c r="AH27" s="1087"/>
    </row>
    <row r="28" spans="2:34" s="593" customFormat="1" ht="44.45" customHeight="1" x14ac:dyDescent="0.25">
      <c r="B28" s="986"/>
      <c r="C28" s="987"/>
      <c r="D28" s="988"/>
      <c r="E28" s="1022"/>
      <c r="F28" s="1023"/>
      <c r="G28" s="1023"/>
      <c r="H28" s="1023"/>
      <c r="I28" s="1023"/>
      <c r="J28" s="1024"/>
      <c r="K28" s="1025"/>
      <c r="L28" s="1026"/>
      <c r="M28" s="1025"/>
      <c r="N28" s="1026"/>
      <c r="O28" s="1045"/>
      <c r="P28" s="1046"/>
      <c r="Q28" s="1046"/>
      <c r="R28" s="1047"/>
      <c r="S28" s="1033"/>
      <c r="T28" s="1034"/>
      <c r="U28" s="1022"/>
      <c r="V28" s="1023"/>
      <c r="W28" s="1023"/>
      <c r="X28" s="1023"/>
      <c r="Y28" s="1023"/>
      <c r="Z28" s="677"/>
      <c r="AA28" s="674" t="str">
        <f t="shared" si="0"/>
        <v/>
      </c>
      <c r="AB28" s="1087" t="str">
        <f t="shared" si="1"/>
        <v/>
      </c>
      <c r="AC28" s="1087"/>
      <c r="AD28" s="1087"/>
      <c r="AE28" s="1087"/>
      <c r="AF28" s="1087"/>
      <c r="AG28" s="1087"/>
      <c r="AH28" s="1087"/>
    </row>
    <row r="29" spans="2:34" s="593" customFormat="1" ht="44.45" customHeight="1" x14ac:dyDescent="0.25">
      <c r="B29" s="986"/>
      <c r="C29" s="987"/>
      <c r="D29" s="988"/>
      <c r="E29" s="1022"/>
      <c r="F29" s="1023"/>
      <c r="G29" s="1023"/>
      <c r="H29" s="1023"/>
      <c r="I29" s="1023"/>
      <c r="J29" s="1024"/>
      <c r="K29" s="1025"/>
      <c r="L29" s="1026"/>
      <c r="M29" s="1025"/>
      <c r="N29" s="1026"/>
      <c r="O29" s="1045"/>
      <c r="P29" s="1046"/>
      <c r="Q29" s="1046"/>
      <c r="R29" s="1047"/>
      <c r="S29" s="1033"/>
      <c r="T29" s="1034"/>
      <c r="U29" s="1022"/>
      <c r="V29" s="1023"/>
      <c r="W29" s="1023"/>
      <c r="X29" s="1023"/>
      <c r="Y29" s="1023"/>
      <c r="Z29" s="677"/>
      <c r="AA29" s="674" t="str">
        <f t="shared" si="0"/>
        <v/>
      </c>
      <c r="AB29" s="1087" t="str">
        <f t="shared" si="1"/>
        <v/>
      </c>
      <c r="AC29" s="1087"/>
      <c r="AD29" s="1087"/>
      <c r="AE29" s="1087"/>
      <c r="AF29" s="1087"/>
      <c r="AG29" s="1087"/>
      <c r="AH29" s="1087"/>
    </row>
    <row r="30" spans="2:34" s="593" customFormat="1" ht="44.45" customHeight="1" x14ac:dyDescent="0.25">
      <c r="B30" s="986"/>
      <c r="C30" s="987"/>
      <c r="D30" s="988"/>
      <c r="E30" s="1022"/>
      <c r="F30" s="1023"/>
      <c r="G30" s="1023"/>
      <c r="H30" s="1023"/>
      <c r="I30" s="1023"/>
      <c r="J30" s="1024"/>
      <c r="K30" s="1025"/>
      <c r="L30" s="1026"/>
      <c r="M30" s="1025"/>
      <c r="N30" s="1026"/>
      <c r="O30" s="1045"/>
      <c r="P30" s="1046"/>
      <c r="Q30" s="1046"/>
      <c r="R30" s="1047"/>
      <c r="S30" s="1033"/>
      <c r="T30" s="1034"/>
      <c r="U30" s="1022"/>
      <c r="V30" s="1023"/>
      <c r="W30" s="1023"/>
      <c r="X30" s="1023"/>
      <c r="Y30" s="1023"/>
      <c r="Z30" s="677"/>
      <c r="AA30" s="674" t="str">
        <f t="shared" si="0"/>
        <v/>
      </c>
      <c r="AB30" s="1087" t="str">
        <f t="shared" si="1"/>
        <v/>
      </c>
      <c r="AC30" s="1087"/>
      <c r="AD30" s="1087"/>
      <c r="AE30" s="1087"/>
      <c r="AF30" s="1087"/>
      <c r="AG30" s="1087"/>
      <c r="AH30" s="1087"/>
    </row>
    <row r="31" spans="2:34" s="593" customFormat="1" ht="44.45" customHeight="1" thickBot="1" x14ac:dyDescent="0.3">
      <c r="B31" s="1073"/>
      <c r="C31" s="1074"/>
      <c r="D31" s="1075"/>
      <c r="E31" s="1031"/>
      <c r="F31" s="1032"/>
      <c r="G31" s="1032"/>
      <c r="H31" s="1032"/>
      <c r="I31" s="1032"/>
      <c r="J31" s="1080"/>
      <c r="K31" s="1040"/>
      <c r="L31" s="1041"/>
      <c r="M31" s="1040"/>
      <c r="N31" s="1041"/>
      <c r="O31" s="1077"/>
      <c r="P31" s="1078"/>
      <c r="Q31" s="1078"/>
      <c r="R31" s="1079"/>
      <c r="S31" s="1033"/>
      <c r="T31" s="1034"/>
      <c r="U31" s="1031"/>
      <c r="V31" s="1032"/>
      <c r="W31" s="1032"/>
      <c r="X31" s="1032"/>
      <c r="Y31" s="1032"/>
      <c r="Z31" s="678"/>
      <c r="AA31" s="674" t="str">
        <f t="shared" si="0"/>
        <v/>
      </c>
      <c r="AB31" s="1087" t="str">
        <f t="shared" si="1"/>
        <v/>
      </c>
      <c r="AC31" s="1087"/>
      <c r="AD31" s="1087"/>
      <c r="AE31" s="1087"/>
      <c r="AF31" s="1087"/>
      <c r="AG31" s="1087"/>
      <c r="AH31" s="1087"/>
    </row>
    <row r="32" spans="2:34" ht="15.95" customHeight="1" thickBot="1" x14ac:dyDescent="0.3">
      <c r="B32" s="1067"/>
      <c r="C32" s="1065"/>
      <c r="D32" s="1066"/>
      <c r="E32" s="1067"/>
      <c r="F32" s="1065"/>
      <c r="G32" s="1065"/>
      <c r="H32" s="1065"/>
      <c r="I32" s="1065"/>
      <c r="J32" s="1066"/>
      <c r="K32" s="984">
        <f>SUM(K10:L31)</f>
        <v>0</v>
      </c>
      <c r="L32" s="985"/>
      <c r="M32" s="984">
        <f>SUM(M10:N31)</f>
        <v>0</v>
      </c>
      <c r="N32" s="985"/>
      <c r="O32" s="1042"/>
      <c r="P32" s="1043"/>
      <c r="Q32" s="1043"/>
      <c r="R32" s="1044"/>
      <c r="S32" s="656"/>
      <c r="T32" s="656"/>
      <c r="U32" s="1067"/>
      <c r="V32" s="1065"/>
      <c r="W32" s="1065"/>
      <c r="X32" s="1065"/>
      <c r="Y32" s="1065"/>
      <c r="Z32" s="1065"/>
      <c r="AA32" s="1066"/>
    </row>
    <row r="33" spans="2:27" ht="31.5" customHeight="1" x14ac:dyDescent="0.25"/>
    <row r="34" spans="2:27" ht="19.5" customHeight="1" thickBot="1" x14ac:dyDescent="0.3"/>
    <row r="35" spans="2:27" ht="38.1" customHeight="1" thickBot="1" x14ac:dyDescent="0.3">
      <c r="B35" s="981" t="s">
        <v>39</v>
      </c>
      <c r="C35" s="982"/>
      <c r="D35" s="982"/>
      <c r="E35" s="982"/>
      <c r="F35" s="982"/>
      <c r="G35" s="982"/>
      <c r="H35" s="982"/>
      <c r="I35" s="982"/>
      <c r="J35" s="982"/>
      <c r="K35" s="983" t="s">
        <v>40</v>
      </c>
      <c r="L35" s="983"/>
      <c r="M35" s="1083"/>
      <c r="N35" s="1083"/>
      <c r="O35" s="1076" t="s">
        <v>41</v>
      </c>
      <c r="P35" s="1076"/>
      <c r="Q35" s="1084"/>
      <c r="R35" s="1084"/>
      <c r="S35" s="657" t="s">
        <v>42</v>
      </c>
      <c r="T35" s="658"/>
      <c r="U35" s="1076" t="s">
        <v>43</v>
      </c>
      <c r="V35" s="1076"/>
      <c r="W35" s="1027">
        <f>M35+Q35+T35</f>
        <v>0</v>
      </c>
      <c r="X35" s="1027"/>
      <c r="Y35" s="1027"/>
      <c r="Z35" s="1027"/>
      <c r="AA35" s="1028"/>
    </row>
    <row r="36" spans="2:27" ht="15.95" customHeight="1" thickBot="1" x14ac:dyDescent="0.3">
      <c r="I36" s="593"/>
      <c r="J36" s="593"/>
      <c r="S36" s="562">
        <f ca="1">SUMIF(S10:S31,"Yes",M11:N31)</f>
        <v>0</v>
      </c>
      <c r="T36" s="562"/>
    </row>
    <row r="37" spans="2:27" ht="15.6" customHeight="1" thickBot="1" x14ac:dyDescent="0.3">
      <c r="B37" s="1013" t="s">
        <v>44</v>
      </c>
      <c r="C37" s="1014"/>
      <c r="D37" s="1014"/>
      <c r="E37" s="1014"/>
      <c r="F37" s="1014"/>
      <c r="G37" s="1014"/>
      <c r="H37" s="1014"/>
      <c r="I37" s="1014"/>
      <c r="J37" s="1015"/>
      <c r="K37" s="583"/>
      <c r="L37" s="583"/>
      <c r="S37" s="592">
        <f ca="1">M32-S36</f>
        <v>0</v>
      </c>
      <c r="T37" s="592"/>
    </row>
    <row r="38" spans="2:27" ht="15.6" customHeight="1" thickBot="1" x14ac:dyDescent="0.3">
      <c r="B38" s="1004" t="s">
        <v>45</v>
      </c>
      <c r="C38" s="1005"/>
      <c r="D38" s="1005"/>
      <c r="E38" s="1005"/>
      <c r="F38" s="1005"/>
      <c r="G38" s="1005"/>
      <c r="H38" s="1005"/>
      <c r="I38" s="1005"/>
      <c r="J38" s="1006"/>
      <c r="K38" s="584"/>
      <c r="L38" s="584"/>
      <c r="R38" s="562"/>
      <c r="S38" s="594">
        <f>SUMIF(S10:S31,"No",M10:N31)</f>
        <v>0</v>
      </c>
      <c r="T38" s="562"/>
    </row>
    <row r="39" spans="2:27" ht="15.95" customHeight="1" x14ac:dyDescent="0.25">
      <c r="B39" s="995" t="s">
        <v>46</v>
      </c>
      <c r="C39" s="996"/>
      <c r="D39" s="996"/>
      <c r="E39" s="996"/>
      <c r="F39" s="996"/>
      <c r="G39" s="996"/>
      <c r="H39" s="997"/>
      <c r="I39" s="989">
        <f ca="1">K32-S36</f>
        <v>0</v>
      </c>
      <c r="J39" s="990"/>
      <c r="K39" s="585"/>
      <c r="L39" s="585"/>
    </row>
    <row r="40" spans="2:27" x14ac:dyDescent="0.25">
      <c r="B40" s="998" t="s">
        <v>47</v>
      </c>
      <c r="C40" s="999"/>
      <c r="D40" s="999"/>
      <c r="E40" s="999"/>
      <c r="F40" s="999"/>
      <c r="G40" s="999"/>
      <c r="H40" s="1000"/>
      <c r="I40" s="991">
        <f>M32</f>
        <v>0</v>
      </c>
      <c r="J40" s="992"/>
      <c r="K40" s="585"/>
      <c r="L40" s="585"/>
    </row>
    <row r="41" spans="2:27" ht="15.95" customHeight="1" x14ac:dyDescent="0.25">
      <c r="B41" s="998" t="s">
        <v>48</v>
      </c>
      <c r="C41" s="999"/>
      <c r="D41" s="999"/>
      <c r="E41" s="999"/>
      <c r="F41" s="999"/>
      <c r="G41" s="999"/>
      <c r="H41" s="1000"/>
      <c r="I41" s="1016" t="str">
        <f ca="1">IF(OR(M32=0,I39=0),"0.00",(M32/I39))</f>
        <v>0.00</v>
      </c>
      <c r="J41" s="1017"/>
      <c r="K41" s="586"/>
      <c r="L41" s="586"/>
    </row>
    <row r="42" spans="2:27" ht="15.6" customHeight="1" x14ac:dyDescent="0.25">
      <c r="B42" s="998" t="s">
        <v>49</v>
      </c>
      <c r="C42" s="999"/>
      <c r="D42" s="999"/>
      <c r="E42" s="999"/>
      <c r="F42" s="999"/>
      <c r="G42" s="999"/>
      <c r="H42" s="1000"/>
      <c r="I42" s="1018">
        <f ca="1">SUMIF(O10:R31, "Retained",M10:N31)</f>
        <v>0</v>
      </c>
      <c r="J42" s="1019"/>
      <c r="K42" s="587"/>
      <c r="L42" s="587"/>
    </row>
    <row r="43" spans="2:27" x14ac:dyDescent="0.25">
      <c r="B43" s="998" t="s">
        <v>50</v>
      </c>
      <c r="C43" s="999"/>
      <c r="D43" s="999"/>
      <c r="E43" s="999"/>
      <c r="F43" s="999"/>
      <c r="G43" s="999"/>
      <c r="H43" s="1000"/>
      <c r="I43" s="1018">
        <f ca="1">SUMIF(O10:R31,"Enhanced",M11:N31)</f>
        <v>0</v>
      </c>
      <c r="J43" s="1019"/>
      <c r="K43" s="587"/>
      <c r="L43" s="587"/>
    </row>
    <row r="44" spans="2:27" ht="15.95" customHeight="1" thickBot="1" x14ac:dyDescent="0.3">
      <c r="B44" s="1001" t="s">
        <v>51</v>
      </c>
      <c r="C44" s="1002"/>
      <c r="D44" s="1002"/>
      <c r="E44" s="1002"/>
      <c r="F44" s="1002"/>
      <c r="G44" s="1002"/>
      <c r="H44" s="1003"/>
      <c r="I44" s="1020">
        <f ca="1">SUMIF(O10:R31, "Lost",M10:N31)</f>
        <v>0</v>
      </c>
      <c r="J44" s="1021"/>
      <c r="K44" s="584"/>
      <c r="L44" s="584"/>
      <c r="O44" s="562" t="s">
        <v>52</v>
      </c>
    </row>
    <row r="45" spans="2:27" ht="15.95" customHeight="1" thickBot="1" x14ac:dyDescent="0.3">
      <c r="B45" s="1004" t="s">
        <v>53</v>
      </c>
      <c r="C45" s="1005"/>
      <c r="D45" s="1005"/>
      <c r="E45" s="1005"/>
      <c r="F45" s="1005"/>
      <c r="G45" s="1005"/>
      <c r="H45" s="1005"/>
      <c r="I45" s="1005"/>
      <c r="J45" s="1006"/>
      <c r="K45" s="588"/>
      <c r="L45" s="588"/>
      <c r="O45" s="562" t="s">
        <v>54</v>
      </c>
    </row>
    <row r="46" spans="2:27" ht="15.6" customHeight="1" x14ac:dyDescent="0.25">
      <c r="B46" s="995" t="s">
        <v>55</v>
      </c>
      <c r="C46" s="996"/>
      <c r="D46" s="996"/>
      <c r="E46" s="996"/>
      <c r="F46" s="996"/>
      <c r="G46" s="996"/>
      <c r="H46" s="997"/>
      <c r="I46" s="1007">
        <f ca="1">SUMIF(B10:D31, "=Hedgerows",K10:L31)</f>
        <v>0</v>
      </c>
      <c r="J46" s="1008"/>
      <c r="K46" s="588"/>
      <c r="L46" s="588"/>
    </row>
    <row r="47" spans="2:27" x14ac:dyDescent="0.25">
      <c r="B47" s="998" t="s">
        <v>56</v>
      </c>
      <c r="C47" s="999"/>
      <c r="D47" s="999"/>
      <c r="E47" s="999"/>
      <c r="F47" s="999"/>
      <c r="G47" s="999"/>
      <c r="H47" s="1000"/>
      <c r="I47" s="1009">
        <f>SUM(SUMIFS(K10:K31,B10:B31, ("=Hedgerows"),O10:O31, ("=Retained")))</f>
        <v>0</v>
      </c>
      <c r="J47" s="1010"/>
      <c r="K47" s="588"/>
      <c r="L47" s="588"/>
      <c r="O47" s="562" t="s">
        <v>53</v>
      </c>
    </row>
    <row r="48" spans="2:27" x14ac:dyDescent="0.25">
      <c r="B48" s="998" t="s">
        <v>57</v>
      </c>
      <c r="C48" s="999"/>
      <c r="D48" s="999"/>
      <c r="E48" s="999"/>
      <c r="F48" s="999"/>
      <c r="G48" s="999"/>
      <c r="H48" s="1000"/>
      <c r="I48" s="1009">
        <f>SUM(SUMIFS(K10:K31,B10:B31, ("=Hedgerows"),O10:O31, ("=Enhanced")))</f>
        <v>0</v>
      </c>
      <c r="J48" s="1010"/>
      <c r="K48" s="584"/>
      <c r="L48" s="584"/>
      <c r="O48" s="562" t="s">
        <v>52</v>
      </c>
    </row>
    <row r="49" spans="2:12" ht="15.95" customHeight="1" thickBot="1" x14ac:dyDescent="0.3">
      <c r="B49" s="1001" t="s">
        <v>58</v>
      </c>
      <c r="C49" s="1002"/>
      <c r="D49" s="1002"/>
      <c r="E49" s="1002"/>
      <c r="F49" s="1002"/>
      <c r="G49" s="1002"/>
      <c r="H49" s="1003"/>
      <c r="I49" s="1011">
        <f>SUM(SUMIFS(K10:K31,B10:B31, ("=Hedgerows"),O10:O31, ("=Lost")))</f>
        <v>0</v>
      </c>
      <c r="J49" s="1012"/>
      <c r="K49" s="585"/>
      <c r="L49" s="585"/>
    </row>
    <row r="50" spans="2:12" ht="16.5" thickBot="1" x14ac:dyDescent="0.3">
      <c r="B50" s="671" t="s">
        <v>59</v>
      </c>
      <c r="C50" s="672"/>
      <c r="D50" s="672"/>
      <c r="E50" s="672"/>
      <c r="F50" s="672"/>
      <c r="G50" s="672"/>
      <c r="H50" s="672"/>
      <c r="I50" s="672"/>
      <c r="J50" s="673"/>
      <c r="K50" s="589"/>
      <c r="L50" s="589"/>
    </row>
    <row r="51" spans="2:12" ht="15.6" customHeight="1" x14ac:dyDescent="0.25">
      <c r="B51" s="995" t="s">
        <v>1680</v>
      </c>
      <c r="C51" s="996"/>
      <c r="D51" s="996"/>
      <c r="E51" s="996"/>
      <c r="F51" s="996"/>
      <c r="G51" s="996"/>
      <c r="H51" s="997"/>
      <c r="I51" s="989">
        <f ca="1">SUMIF(B10:D31, "=Watercourse",K10:L31)</f>
        <v>0</v>
      </c>
      <c r="J51" s="990"/>
      <c r="K51" s="589"/>
      <c r="L51" s="589"/>
    </row>
    <row r="52" spans="2:12" x14ac:dyDescent="0.25">
      <c r="B52" s="998" t="s">
        <v>60</v>
      </c>
      <c r="C52" s="999"/>
      <c r="D52" s="999"/>
      <c r="E52" s="999"/>
      <c r="F52" s="999"/>
      <c r="G52" s="999"/>
      <c r="H52" s="1000"/>
      <c r="I52" s="991">
        <f>SUMIFS(K10:K32,B10:B32, "=Watercourse", O10:O32, "=Retained")</f>
        <v>0</v>
      </c>
      <c r="J52" s="992"/>
    </row>
    <row r="53" spans="2:12" x14ac:dyDescent="0.25">
      <c r="B53" s="998" t="s">
        <v>1681</v>
      </c>
      <c r="C53" s="999"/>
      <c r="D53" s="999"/>
      <c r="E53" s="999"/>
      <c r="F53" s="999"/>
      <c r="G53" s="999"/>
      <c r="H53" s="1000"/>
      <c r="I53" s="991">
        <f>SUMIFS(K10:K31,B10:B31, "=Watercourse", O10:O31, "=Enhanced")</f>
        <v>0</v>
      </c>
      <c r="J53" s="992"/>
    </row>
    <row r="54" spans="2:12" ht="15.95" customHeight="1" thickBot="1" x14ac:dyDescent="0.3">
      <c r="B54" s="1001" t="s">
        <v>61</v>
      </c>
      <c r="C54" s="1002"/>
      <c r="D54" s="1002"/>
      <c r="E54" s="1002"/>
      <c r="F54" s="1002"/>
      <c r="G54" s="1002"/>
      <c r="H54" s="1003"/>
      <c r="I54" s="993">
        <f>SUM(SUMIFS(K10:K31,B10:B31, ("=Watercourse"),O10:O31, ("=Lost")))</f>
        <v>0</v>
      </c>
      <c r="J54" s="994"/>
    </row>
    <row r="61" spans="2:12" ht="15" hidden="1" customHeight="1" x14ac:dyDescent="0.25"/>
    <row r="62" spans="2:12" hidden="1" x14ac:dyDescent="0.25"/>
    <row r="63" spans="2:12" hidden="1" x14ac:dyDescent="0.25"/>
    <row r="64" spans="2: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Blanks" priority="6">
      <formula>LEN(TRIM(B10))=0</formula>
    </cfRule>
    <cfRule type="containsText" dxfId="679" priority="9" operator="containsText" text="Area">
      <formula>NOT(ISERROR(SEARCH("Area",B10)))</formula>
    </cfRule>
    <cfRule type="containsText" dxfId="678" priority="10" operator="containsText" text="Watercourses">
      <formula>NOT(ISERROR(SEARCH("Watercourses",B10)))</formula>
    </cfRule>
    <cfRule type="containsText" dxfId="677" priority="11" operator="containsText" text="Hedgerows">
      <formula>NOT(ISERROR(SEARCH("Hedgerows",B10)))</formula>
    </cfRule>
  </conditionalFormatting>
  <conditionalFormatting sqref="K10:L31">
    <cfRule type="expression" dxfId="676" priority="4">
      <formula>B10="Area habitats"</formula>
    </cfRule>
  </conditionalFormatting>
  <conditionalFormatting sqref="M10 M11:N31">
    <cfRule type="expression" dxfId="675" priority="7">
      <formula>B10="Hedgerows"</formula>
    </cfRule>
    <cfRule type="expression" dxfId="674" priority="8">
      <formula>B10="Watercourses"</formula>
    </cfRule>
  </conditionalFormatting>
  <conditionalFormatting sqref="AA10:AA31">
    <cfRule type="containsText" dxfId="673" priority="1" operator="containsText" text="▲">
      <formula>NOT(ISERROR(SEARCH("▲",AA10)))</formula>
    </cfRule>
  </conditionalFormatting>
  <conditionalFormatting sqref="AB10:AB31">
    <cfRule type="containsText" dxfId="672" priority="2" operator="containsText" text="Please">
      <formula>NOT(ISERROR(SEARCH("Please",AB10)))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80" zoomScaleNormal="80" workbookViewId="0"/>
  </sheetViews>
  <sheetFormatPr defaultColWidth="9.140625" defaultRowHeight="14.45" customHeight="1" zeroHeight="1" x14ac:dyDescent="0.25"/>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x14ac:dyDescent="0.5">
      <c r="B1" s="16"/>
      <c r="C1" s="16"/>
      <c r="E1" s="17"/>
      <c r="F1" s="978"/>
      <c r="G1" s="978"/>
      <c r="H1" s="978"/>
      <c r="I1" s="978"/>
      <c r="J1" s="978"/>
      <c r="K1" s="979"/>
      <c r="L1" s="979"/>
      <c r="M1" s="979"/>
      <c r="N1" s="979"/>
      <c r="O1" s="979"/>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684"/>
      <c r="E10" s="1684"/>
      <c r="F10" s="1684"/>
      <c r="G10" s="1684"/>
      <c r="H10" s="1684"/>
      <c r="I10" s="1684"/>
      <c r="J10" s="1684"/>
      <c r="K10" s="1684"/>
      <c r="L10" s="1684"/>
      <c r="M10" s="1684"/>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140625" defaultRowHeight="15" x14ac:dyDescent="0.25"/>
  <cols>
    <col min="1" max="1" width="41.28515625" style="220" customWidth="1"/>
    <col min="2" max="2" width="56.42578125" style="220" bestFit="1" customWidth="1"/>
    <col min="3" max="3" width="9.140625" style="220"/>
    <col min="4" max="4" width="55.5703125" style="220" customWidth="1"/>
    <col min="5" max="16384" width="9.140625" style="220"/>
  </cols>
  <sheetData>
    <row r="1" spans="1:4" s="221" customFormat="1" x14ac:dyDescent="0.25">
      <c r="A1" s="252" t="s">
        <v>1281</v>
      </c>
      <c r="B1" s="253" t="s">
        <v>1282</v>
      </c>
      <c r="D1" s="225" t="s">
        <v>1283</v>
      </c>
    </row>
    <row r="2" spans="1:4" x14ac:dyDescent="0.25">
      <c r="A2" s="496" t="s">
        <v>1284</v>
      </c>
      <c r="B2" s="497" t="s">
        <v>1285</v>
      </c>
      <c r="D2" s="496" t="str">
        <f>'G-1 All Habitats'!B3</f>
        <v>Cropland - Arable field margins cultivated annually</v>
      </c>
    </row>
    <row r="3" spans="1:4" x14ac:dyDescent="0.25">
      <c r="A3" s="496" t="s">
        <v>1286</v>
      </c>
      <c r="B3" s="497" t="s">
        <v>1287</v>
      </c>
      <c r="D3" s="496" t="str">
        <f>'G-1 All Habitats'!B4</f>
        <v>Cropland - Arable field margins game bird mix</v>
      </c>
    </row>
    <row r="4" spans="1:4" x14ac:dyDescent="0.25">
      <c r="A4" s="496" t="s">
        <v>1288</v>
      </c>
      <c r="B4" s="497" t="s">
        <v>1289</v>
      </c>
      <c r="D4" s="496" t="str">
        <f>'G-1 All Habitats'!B5</f>
        <v>Cropland - Arable field margins pollen and nectar</v>
      </c>
    </row>
    <row r="5" spans="1:4" x14ac:dyDescent="0.25">
      <c r="A5" s="496" t="s">
        <v>1290</v>
      </c>
      <c r="B5" s="497" t="s">
        <v>1291</v>
      </c>
      <c r="D5" s="496" t="str">
        <f>'G-1 All Habitats'!B6</f>
        <v>Cropland - Arable field margins tussocky</v>
      </c>
    </row>
    <row r="6" spans="1:4" x14ac:dyDescent="0.25">
      <c r="A6" s="496" t="s">
        <v>1292</v>
      </c>
      <c r="B6" s="497" t="s">
        <v>1293</v>
      </c>
      <c r="D6" s="496" t="str">
        <f>'G-1 All Habitats'!B7</f>
        <v>Cropland - Cereal crops</v>
      </c>
    </row>
    <row r="7" spans="1:4" x14ac:dyDescent="0.25">
      <c r="A7" s="496" t="s">
        <v>1294</v>
      </c>
      <c r="B7" s="497" t="s">
        <v>1295</v>
      </c>
      <c r="D7" s="496" t="str">
        <f>'G-1 All Habitats'!B8</f>
        <v>Cropland - Winter stubble</v>
      </c>
    </row>
    <row r="8" spans="1:4" x14ac:dyDescent="0.25">
      <c r="A8" s="496" t="s">
        <v>1296</v>
      </c>
      <c r="B8" s="497" t="s">
        <v>1297</v>
      </c>
      <c r="D8" s="496" t="str">
        <f>'G-1 All Habitats'!B9</f>
        <v>Cropland - Horticulture</v>
      </c>
    </row>
    <row r="9" spans="1:4" x14ac:dyDescent="0.25">
      <c r="A9" s="496" t="s">
        <v>1298</v>
      </c>
      <c r="B9" s="497" t="s">
        <v>1299</v>
      </c>
      <c r="D9" s="496" t="str">
        <f>'G-1 All Habitats'!B10</f>
        <v>Cropland - Intensive orchards</v>
      </c>
    </row>
    <row r="10" spans="1:4" x14ac:dyDescent="0.25">
      <c r="A10" s="496" t="s">
        <v>1300</v>
      </c>
      <c r="B10" s="497" t="s">
        <v>1301</v>
      </c>
      <c r="D10" s="496" t="str">
        <f>'G-1 All Habitats'!B11</f>
        <v>Cropland - Non-cereal crops</v>
      </c>
    </row>
    <row r="11" spans="1:4" x14ac:dyDescent="0.25">
      <c r="A11" s="496" t="s">
        <v>1302</v>
      </c>
      <c r="B11" s="497" t="s">
        <v>1303</v>
      </c>
      <c r="D11" s="496" t="str">
        <f>'G-1 All Habitats'!B12</f>
        <v>Cropland - Temporary grass and clover leys</v>
      </c>
    </row>
    <row r="12" spans="1:4" x14ac:dyDescent="0.25">
      <c r="A12" s="496" t="s">
        <v>1304</v>
      </c>
      <c r="B12" s="497" t="s">
        <v>1305</v>
      </c>
      <c r="D12" s="496" t="str">
        <f>'G-1 All Habitats'!B13</f>
        <v>Grassland - Traditional orchards</v>
      </c>
    </row>
    <row r="13" spans="1:4" x14ac:dyDescent="0.25">
      <c r="A13" s="496" t="s">
        <v>1306</v>
      </c>
      <c r="B13" s="497" t="s">
        <v>1307</v>
      </c>
      <c r="D13" s="496" t="str">
        <f>'G-1 All Habitats'!B14</f>
        <v>Grassland - Bracken</v>
      </c>
    </row>
    <row r="14" spans="1:4" x14ac:dyDescent="0.25">
      <c r="A14" s="496" t="s">
        <v>1308</v>
      </c>
      <c r="B14" s="497" t="s">
        <v>1309</v>
      </c>
      <c r="D14" s="496" t="str">
        <f>'G-1 All Habitats'!B15</f>
        <v>Grassland - Floodplain wetland mosaic and CFGM</v>
      </c>
    </row>
    <row r="15" spans="1:4" x14ac:dyDescent="0.25">
      <c r="A15" s="496" t="s">
        <v>1310</v>
      </c>
      <c r="B15" s="497" t="s">
        <v>1311</v>
      </c>
      <c r="D15" s="496" t="str">
        <f>'G-1 All Habitats'!B16</f>
        <v>Grassland - Lowland calcareous grassland</v>
      </c>
    </row>
    <row r="16" spans="1:4" x14ac:dyDescent="0.25">
      <c r="A16" s="496" t="s">
        <v>1312</v>
      </c>
      <c r="B16" s="497" t="s">
        <v>1313</v>
      </c>
      <c r="D16" s="496" t="str">
        <f>'G-1 All Habitats'!B17</f>
        <v>Grassland - Lowland dry acid grassland</v>
      </c>
    </row>
    <row r="17" spans="1:4" x14ac:dyDescent="0.25">
      <c r="A17" s="496" t="s">
        <v>1314</v>
      </c>
      <c r="D17" s="496" t="str">
        <f>'G-1 All Habitats'!B18</f>
        <v>Grassland - Lowland meadows</v>
      </c>
    </row>
    <row r="18" spans="1:4" x14ac:dyDescent="0.25">
      <c r="A18" s="496" t="s">
        <v>1315</v>
      </c>
      <c r="D18" s="496" t="str">
        <f>'G-1 All Habitats'!B19</f>
        <v>Grassland - Modified grassland</v>
      </c>
    </row>
    <row r="19" spans="1:4" x14ac:dyDescent="0.25">
      <c r="A19" s="496" t="s">
        <v>1316</v>
      </c>
      <c r="D19" s="496" t="str">
        <f>'G-1 All Habitats'!B20</f>
        <v>Grassland - Other lowland acid grassland</v>
      </c>
    </row>
    <row r="20" spans="1:4" x14ac:dyDescent="0.25">
      <c r="A20" s="496" t="s">
        <v>1317</v>
      </c>
      <c r="D20" s="496" t="str">
        <f>'G-1 All Habitats'!B21</f>
        <v>Grassland - Other neutral grassland</v>
      </c>
    </row>
    <row r="21" spans="1:4" x14ac:dyDescent="0.25">
      <c r="A21" s="496" t="s">
        <v>1318</v>
      </c>
      <c r="D21" s="496" t="str">
        <f>'G-1 All Habitats'!B22</f>
        <v>Grassland - Tall herb communities (H6430)</v>
      </c>
    </row>
    <row r="22" spans="1:4" x14ac:dyDescent="0.25">
      <c r="A22" s="496" t="s">
        <v>1319</v>
      </c>
      <c r="D22" s="496" t="str">
        <f>'G-1 All Habitats'!B23</f>
        <v>Grassland - Upland acid grassland</v>
      </c>
    </row>
    <row r="23" spans="1:4" x14ac:dyDescent="0.25">
      <c r="A23" s="496" t="s">
        <v>1320</v>
      </c>
      <c r="D23" s="496" t="str">
        <f>'G-1 All Habitats'!B24</f>
        <v>Grassland - Upland calcareous grassland</v>
      </c>
    </row>
    <row r="24" spans="1:4" x14ac:dyDescent="0.25">
      <c r="A24" s="496" t="s">
        <v>1321</v>
      </c>
      <c r="D24" s="496" t="str">
        <f>'G-1 All Habitats'!B25</f>
        <v>Grassland - Upland hay meadows</v>
      </c>
    </row>
    <row r="25" spans="1:4" x14ac:dyDescent="0.25">
      <c r="A25" s="496" t="s">
        <v>1322</v>
      </c>
      <c r="D25" s="496" t="str">
        <f>'G-1 All Habitats'!B26</f>
        <v>Heathland and shrub - Blackthorn scrub</v>
      </c>
    </row>
    <row r="26" spans="1:4" x14ac:dyDescent="0.25">
      <c r="A26" s="496" t="s">
        <v>1323</v>
      </c>
      <c r="D26" s="496" t="str">
        <f>'G-1 All Habitats'!B27</f>
        <v>Heathland and shrub - Bramble scrub</v>
      </c>
    </row>
    <row r="27" spans="1:4" x14ac:dyDescent="0.25">
      <c r="A27" s="496" t="s">
        <v>1324</v>
      </c>
      <c r="D27" s="496" t="str">
        <f>'G-1 All Habitats'!B28</f>
        <v>Heathland and shrub - Gorse scrub</v>
      </c>
    </row>
    <row r="28" spans="1:4" x14ac:dyDescent="0.25">
      <c r="A28" s="496" t="s">
        <v>1325</v>
      </c>
      <c r="D28" s="496" t="str">
        <f>'G-1 All Habitats'!B29</f>
        <v>Heathland and shrub - Hawthorn scrub</v>
      </c>
    </row>
    <row r="29" spans="1:4" x14ac:dyDescent="0.25">
      <c r="A29" s="496" t="s">
        <v>1326</v>
      </c>
      <c r="D29" s="496" t="str">
        <f>'G-1 All Habitats'!B30</f>
        <v>Heathland and shrub - Hazel scrub</v>
      </c>
    </row>
    <row r="30" spans="1:4" x14ac:dyDescent="0.25">
      <c r="A30" s="496" t="s">
        <v>1327</v>
      </c>
      <c r="D30" s="496" t="str">
        <f>'G-1 All Habitats'!B31</f>
        <v>Heathland and shrub - Lowland heathland</v>
      </c>
    </row>
    <row r="31" spans="1:4" x14ac:dyDescent="0.25">
      <c r="A31" s="496" t="s">
        <v>1328</v>
      </c>
      <c r="D31" s="496" t="str">
        <f>'G-1 All Habitats'!B32</f>
        <v>Heathland and shrub - Mixed scrub</v>
      </c>
    </row>
    <row r="32" spans="1:4" x14ac:dyDescent="0.25">
      <c r="A32" s="496" t="s">
        <v>1329</v>
      </c>
      <c r="D32" s="496" t="str">
        <f>'G-1 All Habitats'!B33</f>
        <v>Heathland and shrub - Mountain heaths and willow scrub</v>
      </c>
    </row>
    <row r="33" spans="1:4" x14ac:dyDescent="0.25">
      <c r="A33" s="496" t="s">
        <v>1330</v>
      </c>
      <c r="D33" s="496" t="str">
        <f>'G-1 All Habitats'!B34</f>
        <v>Heathland and shrub - Rhododendron scrub</v>
      </c>
    </row>
    <row r="34" spans="1:4" x14ac:dyDescent="0.25">
      <c r="A34" s="496" t="s">
        <v>1331</v>
      </c>
      <c r="D34" s="496" t="str">
        <f>'G-1 All Habitats'!B35</f>
        <v>Heathland and shrub - Dunes with sea buckthorn (H2160)</v>
      </c>
    </row>
    <row r="35" spans="1:4" x14ac:dyDescent="0.25">
      <c r="A35" s="496" t="s">
        <v>1332</v>
      </c>
      <c r="D35" s="496" t="str">
        <f>'G-1 All Habitats'!B36</f>
        <v>Heathland and shrub - Other sea buckthorn scrub</v>
      </c>
    </row>
    <row r="36" spans="1:4" x14ac:dyDescent="0.25">
      <c r="A36" s="496" t="s">
        <v>1333</v>
      </c>
      <c r="D36" s="496" t="str">
        <f>'G-1 All Habitats'!B38</f>
        <v>Heathland and shrub - Upland heathland</v>
      </c>
    </row>
    <row r="37" spans="1:4" x14ac:dyDescent="0.25">
      <c r="A37" s="496" t="s">
        <v>1334</v>
      </c>
      <c r="D37" s="496" t="str">
        <f>'G-1 All Habitats'!B39</f>
        <v>Lakes - Aquifer fed naturally fluctuating water bodies</v>
      </c>
    </row>
    <row r="38" spans="1:4" x14ac:dyDescent="0.25">
      <c r="A38" s="496" t="s">
        <v>1335</v>
      </c>
      <c r="D38" s="496" t="str">
        <f>'G-1 All Habitats'!B41</f>
        <v>Lakes - High alkalinity lakes</v>
      </c>
    </row>
    <row r="39" spans="1:4" x14ac:dyDescent="0.25">
      <c r="A39" s="496" t="s">
        <v>1336</v>
      </c>
      <c r="D39" s="496" t="str">
        <f>'G-1 All Habitats'!B42</f>
        <v>Lakes - Low alkalinity lakes</v>
      </c>
    </row>
    <row r="40" spans="1:4" x14ac:dyDescent="0.25">
      <c r="A40" s="496" t="s">
        <v>1337</v>
      </c>
      <c r="D40" s="496" t="str">
        <f>'G-1 All Habitats'!B43</f>
        <v>Lakes - Marl lakes</v>
      </c>
    </row>
    <row r="41" spans="1:4" x14ac:dyDescent="0.25">
      <c r="A41" s="496" t="s">
        <v>1338</v>
      </c>
      <c r="D41" s="496" t="str">
        <f>'G-1 All Habitats'!B44</f>
        <v>Lakes - Moderate alkalinity lakes</v>
      </c>
    </row>
    <row r="42" spans="1:4" x14ac:dyDescent="0.25">
      <c r="A42" s="496" t="s">
        <v>1339</v>
      </c>
      <c r="D42" s="496" t="str">
        <f>'G-1 All Habitats'!B45</f>
        <v>Lakes - Peat lakes</v>
      </c>
    </row>
    <row r="43" spans="1:4" x14ac:dyDescent="0.25">
      <c r="A43" s="496" t="s">
        <v>1340</v>
      </c>
      <c r="D43" s="496" t="str">
        <f>'G-1 All Habitats'!B46</f>
        <v>Lakes - Ponds (priority habitat)</v>
      </c>
    </row>
    <row r="44" spans="1:4" x14ac:dyDescent="0.25">
      <c r="A44" s="496" t="s">
        <v>1341</v>
      </c>
      <c r="D44" s="496" t="str">
        <f>'G-1 All Habitats'!B47</f>
        <v>Lakes - Ponds (non-priority habitat)</v>
      </c>
    </row>
    <row r="45" spans="1:4" x14ac:dyDescent="0.25">
      <c r="A45" s="496" t="s">
        <v>1342</v>
      </c>
      <c r="D45" s="496" t="str">
        <f>'G-1 All Habitats'!B48</f>
        <v>Lakes - Reservoirs</v>
      </c>
    </row>
    <row r="46" spans="1:4" x14ac:dyDescent="0.25">
      <c r="A46" s="496" t="s">
        <v>1343</v>
      </c>
      <c r="D46" s="496" t="str">
        <f>'G-1 All Habitats'!B49</f>
        <v>Lakes - Temporary lakes ponds and pools (H3170)</v>
      </c>
    </row>
    <row r="47" spans="1:4" x14ac:dyDescent="0.25">
      <c r="A47" s="496" t="s">
        <v>1344</v>
      </c>
      <c r="D47" s="496" t="str">
        <f>'G-1 All Habitats'!B50</f>
        <v>Sparsely vegetated land - Calaminarian grasslands</v>
      </c>
    </row>
    <row r="48" spans="1:4" x14ac:dyDescent="0.25">
      <c r="A48" s="496" t="s">
        <v>1345</v>
      </c>
      <c r="D48" s="496" t="str">
        <f>'G-1 All Habitats'!B51</f>
        <v>Sparsely vegetated land - Coastal sand dunes</v>
      </c>
    </row>
    <row r="49" spans="1:4" x14ac:dyDescent="0.25">
      <c r="A49" s="496" t="s">
        <v>1346</v>
      </c>
      <c r="D49" s="496" t="str">
        <f>'G-1 All Habitats'!B52</f>
        <v>Sparsely vegetated land - Coastal vegetated shingle</v>
      </c>
    </row>
    <row r="50" spans="1:4" x14ac:dyDescent="0.25">
      <c r="A50" s="496" t="s">
        <v>1347</v>
      </c>
      <c r="D50" s="496" t="str">
        <f>'G-1 All Habitats'!B53</f>
        <v>Sparsely vegetated land - Ruderal/Ephemeral</v>
      </c>
    </row>
    <row r="51" spans="1:4" x14ac:dyDescent="0.25">
      <c r="A51" s="496" t="s">
        <v>1348</v>
      </c>
      <c r="D51" s="496" t="str">
        <f>'G-1 All Habitats'!B55</f>
        <v>Sparsely vegetated land - Inland rock outcrop and scree habitats</v>
      </c>
    </row>
    <row r="52" spans="1:4" x14ac:dyDescent="0.25">
      <c r="A52" s="496" t="s">
        <v>1349</v>
      </c>
      <c r="D52" s="496" t="str">
        <f>'G-1 All Habitats'!B56</f>
        <v>Sparsely vegetated land - Limestone pavement</v>
      </c>
    </row>
    <row r="53" spans="1:4" x14ac:dyDescent="0.25">
      <c r="A53" s="496" t="s">
        <v>1350</v>
      </c>
      <c r="D53" s="496" t="str">
        <f>'G-1 All Habitats'!B57</f>
        <v>Sparsely vegetated land - Maritime cliff and slopes</v>
      </c>
    </row>
    <row r="54" spans="1:4" x14ac:dyDescent="0.25">
      <c r="A54" s="496" t="s">
        <v>1351</v>
      </c>
      <c r="D54" s="496" t="str">
        <f>'G-1 All Habitats'!B58</f>
        <v>Sparsely vegetated land - Other inland rock and scree</v>
      </c>
    </row>
    <row r="55" spans="1:4" x14ac:dyDescent="0.25">
      <c r="A55" s="496" t="s">
        <v>1352</v>
      </c>
      <c r="D55" s="496" t="str">
        <f>'G-1 All Habitats'!B59</f>
        <v>Urban - Allotments</v>
      </c>
    </row>
    <row r="56" spans="1:4" x14ac:dyDescent="0.25">
      <c r="A56" s="496" t="s">
        <v>1353</v>
      </c>
      <c r="D56" s="496" t="str">
        <f>'G-1 All Habitats'!B40</f>
        <v>Lakes - Ornamental lake or pond</v>
      </c>
    </row>
    <row r="57" spans="1:4" x14ac:dyDescent="0.25">
      <c r="A57" s="496" t="s">
        <v>1354</v>
      </c>
      <c r="D57" s="496" t="str">
        <f>'G-1 All Habitats'!B60</f>
        <v>Urban - Artificial unvegetated, unsealed surface</v>
      </c>
    </row>
    <row r="58" spans="1:4" x14ac:dyDescent="0.25">
      <c r="A58" s="496" t="s">
        <v>1355</v>
      </c>
      <c r="D58" s="496" t="str">
        <f>'G-1 All Habitats'!B61</f>
        <v>Urban - Bioswale</v>
      </c>
    </row>
    <row r="59" spans="1:4" x14ac:dyDescent="0.25">
      <c r="A59" s="496" t="s">
        <v>1356</v>
      </c>
      <c r="D59" s="496" t="str">
        <f>'G-1 All Habitats'!B62</f>
        <v>Urban - Intensive green roof</v>
      </c>
    </row>
    <row r="60" spans="1:4" x14ac:dyDescent="0.25">
      <c r="A60" s="496" t="s">
        <v>1357</v>
      </c>
      <c r="D60" s="496" t="str">
        <f>'G-1 All Habitats'!B63</f>
        <v>Urban - Built linear features</v>
      </c>
    </row>
    <row r="61" spans="1:4" x14ac:dyDescent="0.25">
      <c r="A61" s="496" t="s">
        <v>1358</v>
      </c>
      <c r="D61" s="496" t="str">
        <f>'G-1 All Habitats'!B64</f>
        <v>Urban - Cemeteries and churchyards</v>
      </c>
    </row>
    <row r="62" spans="1:4" x14ac:dyDescent="0.25">
      <c r="A62" s="496" t="s">
        <v>1359</v>
      </c>
      <c r="D62" s="496" t="str">
        <f>'G-1 All Habitats'!B65</f>
        <v>Urban - Developed land; sealed surface</v>
      </c>
    </row>
    <row r="63" spans="1:4" x14ac:dyDescent="0.25">
      <c r="A63" s="496" t="s">
        <v>1360</v>
      </c>
      <c r="D63" s="496" t="str">
        <f>'G-1 All Habitats'!B66</f>
        <v>Urban - Other green roof</v>
      </c>
    </row>
    <row r="64" spans="1:4" x14ac:dyDescent="0.25">
      <c r="A64" s="496" t="s">
        <v>1361</v>
      </c>
      <c r="D64" s="496" t="str">
        <f>'G-1 All Habitats'!B67</f>
        <v>Urban - Facade-bound green wall</v>
      </c>
    </row>
    <row r="65" spans="1:4" x14ac:dyDescent="0.25">
      <c r="A65" s="496" t="s">
        <v>1362</v>
      </c>
      <c r="D65" s="496" t="str">
        <f>'G-1 All Habitats'!B68</f>
        <v>Urban - Ground based green wall</v>
      </c>
    </row>
    <row r="66" spans="1:4" x14ac:dyDescent="0.25">
      <c r="A66" s="496" t="s">
        <v>1363</v>
      </c>
      <c r="D66" s="496" t="str">
        <f>'G-1 All Habitats'!B69</f>
        <v>Urban - Ground level planters</v>
      </c>
    </row>
    <row r="67" spans="1:4" x14ac:dyDescent="0.25">
      <c r="A67" s="496" t="s">
        <v>1364</v>
      </c>
      <c r="D67" s="496" t="str">
        <f>'G-1 All Habitats'!B70</f>
        <v>Urban - Biodiverse green roof</v>
      </c>
    </row>
    <row r="68" spans="1:4" x14ac:dyDescent="0.25">
      <c r="A68" s="496" t="s">
        <v>1365</v>
      </c>
      <c r="D68" s="496" t="str">
        <f>'G-1 All Habitats'!B71</f>
        <v>Urban - Introduced shrub</v>
      </c>
    </row>
    <row r="69" spans="1:4" x14ac:dyDescent="0.25">
      <c r="A69" s="496" t="s">
        <v>1366</v>
      </c>
      <c r="D69" s="496" t="str">
        <f>'G-1 All Habitats'!B72</f>
        <v>Urban - Open mosaic habitats on previously developed land</v>
      </c>
    </row>
    <row r="70" spans="1:4" x14ac:dyDescent="0.25">
      <c r="A70" s="496" t="s">
        <v>1367</v>
      </c>
      <c r="D70" s="496" t="str">
        <f>'G-1 All Habitats'!B73</f>
        <v>Urban - Rain garden</v>
      </c>
    </row>
    <row r="71" spans="1:4" x14ac:dyDescent="0.25">
      <c r="A71" s="496" t="s">
        <v>1368</v>
      </c>
      <c r="D71" s="496" t="str">
        <f>'G-1 All Habitats'!B74</f>
        <v>Urban - Actively worked sand pit quarry or open cast mine</v>
      </c>
    </row>
    <row r="72" spans="1:4" x14ac:dyDescent="0.25">
      <c r="A72" s="496" t="s">
        <v>1369</v>
      </c>
      <c r="D72" s="496" t="str">
        <f>'G-1 All Habitats'!B80</f>
        <v>Individual trees - Urban tree</v>
      </c>
    </row>
    <row r="73" spans="1:4" x14ac:dyDescent="0.25">
      <c r="A73" s="496" t="s">
        <v>1370</v>
      </c>
      <c r="D73" s="496" t="str">
        <f>'G-1 All Habitats'!B75</f>
        <v>Urban - Sustainable drainage system</v>
      </c>
    </row>
    <row r="74" spans="1:4" x14ac:dyDescent="0.25">
      <c r="A74" s="496" t="s">
        <v>1371</v>
      </c>
      <c r="D74" s="496" t="str">
        <f>'G-1 All Habitats'!B76</f>
        <v>Urban - Unvegetated garden</v>
      </c>
    </row>
    <row r="75" spans="1:4" x14ac:dyDescent="0.25">
      <c r="A75" s="496" t="s">
        <v>1372</v>
      </c>
      <c r="D75" s="496" t="str">
        <f>'G-1 All Habitats'!B77</f>
        <v>Urban - Vacant or derelict land</v>
      </c>
    </row>
    <row r="76" spans="1:4" x14ac:dyDescent="0.25">
      <c r="A76" s="496" t="s">
        <v>1373</v>
      </c>
      <c r="D76" s="496" t="str">
        <f>'G-1 All Habitats'!B79</f>
        <v>Urban - Vegetated garden</v>
      </c>
    </row>
    <row r="77" spans="1:4" x14ac:dyDescent="0.25">
      <c r="A77" s="496" t="s">
        <v>1374</v>
      </c>
      <c r="D77" s="496" t="str">
        <f>'G-1 All Habitats'!B82</f>
        <v>Wetland - Blanket bog</v>
      </c>
    </row>
    <row r="78" spans="1:4" x14ac:dyDescent="0.25">
      <c r="A78" s="496" t="s">
        <v>1375</v>
      </c>
      <c r="D78" s="496" t="str">
        <f>'G-1 All Habitats'!B83</f>
        <v>Wetland - Depressions on peat substrates (H7150)</v>
      </c>
    </row>
    <row r="79" spans="1:4" x14ac:dyDescent="0.25">
      <c r="A79" s="496" t="s">
        <v>1376</v>
      </c>
      <c r="D79" s="496" t="str">
        <f>'G-1 All Habitats'!B84</f>
        <v>Wetland - Fens (upland and lowland)</v>
      </c>
    </row>
    <row r="80" spans="1:4" x14ac:dyDescent="0.25">
      <c r="A80" s="496" t="s">
        <v>1377</v>
      </c>
      <c r="D80" s="496" t="str">
        <f>'G-1 All Habitats'!B85</f>
        <v>Wetland - Lowland raised bog</v>
      </c>
    </row>
    <row r="81" spans="1:4" x14ac:dyDescent="0.25">
      <c r="A81" s="496" t="s">
        <v>1378</v>
      </c>
      <c r="D81" s="496" t="str">
        <f>'G-1 All Habitats'!B86</f>
        <v>Wetland - Oceanic valley mire[1] (D2.1)</v>
      </c>
    </row>
    <row r="82" spans="1:4" x14ac:dyDescent="0.25">
      <c r="A82" s="496" t="s">
        <v>1379</v>
      </c>
      <c r="D82" s="496" t="str">
        <f>'G-1 All Habitats'!B87</f>
        <v>Wetland - Purple moor grass and rush pastures</v>
      </c>
    </row>
    <row r="83" spans="1:4" x14ac:dyDescent="0.25">
      <c r="A83" s="496" t="s">
        <v>1380</v>
      </c>
      <c r="D83" s="496" t="str">
        <f>'G-1 All Habitats'!B88</f>
        <v>Wetland - Reedbeds</v>
      </c>
    </row>
    <row r="84" spans="1:4" x14ac:dyDescent="0.25">
      <c r="A84" s="496" t="s">
        <v>1381</v>
      </c>
      <c r="D84" s="496" t="str">
        <f>'G-1 All Habitats'!B89</f>
        <v>Wetland - Transition mires and quaking bogs (H7140)</v>
      </c>
    </row>
    <row r="85" spans="1:4" x14ac:dyDescent="0.25">
      <c r="A85" s="496" t="s">
        <v>1382</v>
      </c>
      <c r="D85" s="496" t="str">
        <f>'G-1 All Habitats'!B90</f>
        <v>Woodland and forest - Felled</v>
      </c>
    </row>
    <row r="86" spans="1:4" x14ac:dyDescent="0.25">
      <c r="A86" s="496" t="s">
        <v>1383</v>
      </c>
      <c r="D86" s="496" t="str">
        <f>'G-1 All Habitats'!B91</f>
        <v>Woodland and forest - Lowland beech and yew woodland</v>
      </c>
    </row>
    <row r="87" spans="1:4" x14ac:dyDescent="0.25">
      <c r="A87" s="496" t="s">
        <v>1384</v>
      </c>
      <c r="D87" s="496" t="str">
        <f>'G-1 All Habitats'!B92</f>
        <v>Woodland and forest - Lowland mixed deciduous woodland</v>
      </c>
    </row>
    <row r="88" spans="1:4" x14ac:dyDescent="0.25">
      <c r="A88" s="496" t="s">
        <v>1385</v>
      </c>
      <c r="D88" s="496" t="str">
        <f>'G-1 All Habitats'!B93</f>
        <v>Woodland and forest - Native pine woodlands</v>
      </c>
    </row>
    <row r="89" spans="1:4" x14ac:dyDescent="0.25">
      <c r="A89" s="496" t="s">
        <v>1386</v>
      </c>
      <c r="D89" s="496" t="str">
        <f>'G-1 All Habitats'!B94</f>
        <v>Woodland and forest - Other coniferous woodland</v>
      </c>
    </row>
    <row r="90" spans="1:4" x14ac:dyDescent="0.25">
      <c r="A90" s="496" t="s">
        <v>1387</v>
      </c>
      <c r="D90" s="496" t="str">
        <f>'G-1 All Habitats'!B95</f>
        <v>Woodland and forest - Other Scot's pine woodland</v>
      </c>
    </row>
    <row r="91" spans="1:4" x14ac:dyDescent="0.25">
      <c r="A91" s="496" t="s">
        <v>1388</v>
      </c>
      <c r="D91" s="496" t="str">
        <f>'G-1 All Habitats'!B96</f>
        <v>Woodland and forest - Other woodland; broadleaved</v>
      </c>
    </row>
    <row r="92" spans="1:4" x14ac:dyDescent="0.25">
      <c r="A92" s="496" t="s">
        <v>1389</v>
      </c>
      <c r="D92" s="496" t="str">
        <f>'G-1 All Habitats'!B97</f>
        <v>Woodland and forest - Other woodland; mixed</v>
      </c>
    </row>
    <row r="93" spans="1:4" x14ac:dyDescent="0.25">
      <c r="A93" s="496" t="s">
        <v>1390</v>
      </c>
      <c r="D93" s="496" t="str">
        <f>'G-1 All Habitats'!B98</f>
        <v>Woodland and forest - Upland birchwoods</v>
      </c>
    </row>
    <row r="94" spans="1:4" x14ac:dyDescent="0.25">
      <c r="A94" s="496" t="s">
        <v>1391</v>
      </c>
      <c r="D94" s="496" t="str">
        <f>'G-1 All Habitats'!B99</f>
        <v>Woodland and forest - Upland mixed ashwoods</v>
      </c>
    </row>
    <row r="95" spans="1:4" x14ac:dyDescent="0.25">
      <c r="A95" s="496" t="s">
        <v>1392</v>
      </c>
      <c r="D95" s="496" t="str">
        <f>'G-1 All Habitats'!B100</f>
        <v>Woodland and forest - Upland oakwood</v>
      </c>
    </row>
    <row r="96" spans="1:4" x14ac:dyDescent="0.25">
      <c r="A96" s="496" t="s">
        <v>1393</v>
      </c>
      <c r="D96" s="496" t="str">
        <f>'G-1 All Habitats'!B101</f>
        <v>Woodland and forest - Wet woodland</v>
      </c>
    </row>
    <row r="97" spans="1:4" x14ac:dyDescent="0.25">
      <c r="A97" s="496" t="s">
        <v>1394</v>
      </c>
      <c r="D97" s="496" t="str">
        <f>'G-1 All Habitats'!B102</f>
        <v>Woodland and forest - Wood-pasture and parkland</v>
      </c>
    </row>
    <row r="98" spans="1:4" x14ac:dyDescent="0.25">
      <c r="A98" s="496" t="s">
        <v>1395</v>
      </c>
      <c r="D98" s="496" t="str">
        <f>'G-1 All Habitats'!B103</f>
        <v>Coastal lagoons - Coastal lagoons</v>
      </c>
    </row>
    <row r="99" spans="1:4" x14ac:dyDescent="0.25">
      <c r="A99" s="496" t="s">
        <v>1396</v>
      </c>
      <c r="D99" s="496" t="str">
        <f>'G-1 All Habitats'!B104</f>
        <v>Rocky shore - High energy littoral rock</v>
      </c>
    </row>
    <row r="100" spans="1:4" x14ac:dyDescent="0.25">
      <c r="A100" s="496" t="s">
        <v>1397</v>
      </c>
      <c r="D100" s="496" t="str">
        <f>'G-1 All Habitats'!B105</f>
        <v>Rocky shore - High energy littoral rock - on peat, clay or chalk</v>
      </c>
    </row>
    <row r="101" spans="1:4" x14ac:dyDescent="0.25">
      <c r="A101" s="496" t="s">
        <v>1398</v>
      </c>
      <c r="D101" s="496" t="str">
        <f>'G-1 All Habitats'!B106</f>
        <v>Rocky shore - Moderate energy littoral rock</v>
      </c>
    </row>
    <row r="102" spans="1:4" x14ac:dyDescent="0.25">
      <c r="A102" s="496" t="s">
        <v>1399</v>
      </c>
      <c r="D102" s="496" t="str">
        <f>'G-1 All Habitats'!B107</f>
        <v>Rocky shore - Moderate energy littoral rock - on peat, clay or chalk</v>
      </c>
    </row>
    <row r="103" spans="1:4" x14ac:dyDescent="0.25">
      <c r="A103" s="496" t="s">
        <v>1400</v>
      </c>
      <c r="D103" s="496" t="str">
        <f>'G-1 All Habitats'!B108</f>
        <v>Rocky shore - Low energy littoral rock</v>
      </c>
    </row>
    <row r="104" spans="1:4" x14ac:dyDescent="0.25">
      <c r="A104" s="496" t="s">
        <v>1401</v>
      </c>
      <c r="D104" s="496" t="str">
        <f>'G-1 All Habitats'!B109</f>
        <v>Rocky shore - Low energy littoral rock - on peat, clay or chalk</v>
      </c>
    </row>
    <row r="105" spans="1:4" x14ac:dyDescent="0.25">
      <c r="A105" s="496" t="s">
        <v>1402</v>
      </c>
      <c r="D105" s="496" t="str">
        <f>'G-1 All Habitats'!B110</f>
        <v>Rocky shore - Features of littoral rock</v>
      </c>
    </row>
    <row r="106" spans="1:4" x14ac:dyDescent="0.25">
      <c r="A106" s="496" t="s">
        <v>1403</v>
      </c>
      <c r="D106" s="496" t="str">
        <f>'G-1 All Habitats'!B111</f>
        <v>Rocky shore - Features of littoral rock - on peat, clay or chalk</v>
      </c>
    </row>
    <row r="107" spans="1:4" x14ac:dyDescent="0.25">
      <c r="A107" s="496" t="s">
        <v>1404</v>
      </c>
      <c r="D107" s="496" t="str">
        <f>'G-1 All Habitats'!B114</f>
        <v>Intertidal sediment - Littoral coarse sediment</v>
      </c>
    </row>
    <row r="108" spans="1:4" x14ac:dyDescent="0.25">
      <c r="A108" s="496" t="s">
        <v>1405</v>
      </c>
      <c r="D108" s="496" t="str">
        <f>'G-1 All Habitats'!B115</f>
        <v>Intertidal sediment - Littoral mud</v>
      </c>
    </row>
    <row r="109" spans="1:4" x14ac:dyDescent="0.25">
      <c r="A109" s="496" t="s">
        <v>1406</v>
      </c>
      <c r="D109" s="496" t="str">
        <f>'G-1 All Habitats'!B116</f>
        <v>Intertidal sediment - Littoral mixed sediments</v>
      </c>
    </row>
    <row r="110" spans="1:4" x14ac:dyDescent="0.25">
      <c r="A110" s="496" t="s">
        <v>1407</v>
      </c>
      <c r="D110" s="496" t="str">
        <f>'G-1 All Habitats'!B112</f>
        <v>Coastal saltmarsh - Saltmarshes and saline reedbeds</v>
      </c>
    </row>
    <row r="111" spans="1:4" x14ac:dyDescent="0.25">
      <c r="A111" s="496" t="s">
        <v>1408</v>
      </c>
      <c r="D111" s="496" t="str">
        <f>'G-1 All Habitats'!B117</f>
        <v>Intertidal sediment - Littoral seagrass</v>
      </c>
    </row>
    <row r="112" spans="1:4" x14ac:dyDescent="0.25">
      <c r="A112" s="496" t="s">
        <v>1409</v>
      </c>
      <c r="D112" s="496" t="str">
        <f>'G-1 All Habitats'!B118</f>
        <v>Intertidal sediment - Littoral seagrass on peat, clay or chalk</v>
      </c>
    </row>
    <row r="113" spans="1:4" x14ac:dyDescent="0.25">
      <c r="A113" s="496" t="s">
        <v>1410</v>
      </c>
      <c r="D113" s="496" t="str">
        <f>'G-1 All Habitats'!B120</f>
        <v>Intertidal sediment - Littoral biogenic reefs - Sabellaria</v>
      </c>
    </row>
    <row r="114" spans="1:4" x14ac:dyDescent="0.25">
      <c r="A114" s="496" t="s">
        <v>1411</v>
      </c>
      <c r="D114" s="496" t="str">
        <f>'G-1 All Habitats'!B121</f>
        <v>Intertidal sediment - Features of littoral sediment</v>
      </c>
    </row>
    <row r="115" spans="1:4" x14ac:dyDescent="0.25">
      <c r="A115" s="496" t="s">
        <v>1412</v>
      </c>
      <c r="D115" s="496" t="str">
        <f>'G-1 All Habitats'!B122</f>
        <v>Intertidal sediment - Artificial littoral coarse sediment</v>
      </c>
    </row>
    <row r="116" spans="1:4" x14ac:dyDescent="0.25">
      <c r="A116" s="496" t="s">
        <v>1413</v>
      </c>
      <c r="D116" s="496" t="str">
        <f>'G-1 All Habitats'!B125</f>
        <v>Intertidal sediment - Artificial littoral muddy sand</v>
      </c>
    </row>
    <row r="117" spans="1:4" x14ac:dyDescent="0.25">
      <c r="A117" s="496" t="s">
        <v>1414</v>
      </c>
      <c r="D117" s="496" t="str">
        <f>'G-1 All Habitats'!B126</f>
        <v>Intertidal sediment - Artificial littoral mixed sediments</v>
      </c>
    </row>
    <row r="118" spans="1:4" x14ac:dyDescent="0.25">
      <c r="A118" s="496" t="s">
        <v>1415</v>
      </c>
      <c r="D118" s="496" t="str">
        <f>'G-1 All Habitats'!B127</f>
        <v>Intertidal sediment - Artificial littoral seagrass</v>
      </c>
    </row>
    <row r="119" spans="1:4" x14ac:dyDescent="0.25">
      <c r="A119" s="496" t="s">
        <v>1416</v>
      </c>
      <c r="D119" s="496" t="str">
        <f>'G-1 All Habitats'!B128</f>
        <v>Intertidal sediment - Artificial littoral biogenic reefs</v>
      </c>
    </row>
    <row r="120" spans="1:4" x14ac:dyDescent="0.25">
      <c r="A120" s="496" t="s">
        <v>1417</v>
      </c>
      <c r="D120" s="496" t="str">
        <f>'G-1 All Habitats'!B81</f>
        <v>Individual trees - Rural tree</v>
      </c>
    </row>
    <row r="121" spans="1:4" x14ac:dyDescent="0.25">
      <c r="A121" s="496" t="s">
        <v>1418</v>
      </c>
      <c r="D121" s="496">
        <f>'G-1 All Habitats'!B135</f>
        <v>0</v>
      </c>
    </row>
    <row r="122" spans="1:4" x14ac:dyDescent="0.25">
      <c r="A122" s="496" t="s">
        <v>1419</v>
      </c>
      <c r="D122" s="496">
        <f>'G-1 All Habitats'!B136</f>
        <v>0</v>
      </c>
    </row>
    <row r="123" spans="1:4" x14ac:dyDescent="0.25">
      <c r="A123" s="496" t="s">
        <v>1420</v>
      </c>
      <c r="D123" s="496">
        <f>'G-1 All Habitats'!B137</f>
        <v>0</v>
      </c>
    </row>
    <row r="124" spans="1:4" x14ac:dyDescent="0.25">
      <c r="A124" s="496" t="s">
        <v>1421</v>
      </c>
      <c r="D124" s="496">
        <f>'G-1 All Habitats'!B138</f>
        <v>0</v>
      </c>
    </row>
    <row r="125" spans="1:4" x14ac:dyDescent="0.25">
      <c r="A125" s="496" t="s">
        <v>1422</v>
      </c>
      <c r="D125" s="496">
        <f>'G-1 All Habitats'!B139</f>
        <v>0</v>
      </c>
    </row>
    <row r="126" spans="1:4" x14ac:dyDescent="0.25">
      <c r="A126" s="496" t="s">
        <v>1423</v>
      </c>
      <c r="D126" s="496">
        <f>'G-1 All Habitats'!B140</f>
        <v>0</v>
      </c>
    </row>
    <row r="127" spans="1:4" x14ac:dyDescent="0.25">
      <c r="A127" s="496" t="s">
        <v>1424</v>
      </c>
      <c r="D127" s="496">
        <f>'G-1 All Habitats'!B141</f>
        <v>0</v>
      </c>
    </row>
    <row r="128" spans="1:4" x14ac:dyDescent="0.25">
      <c r="A128" s="496" t="s">
        <v>1425</v>
      </c>
      <c r="D128" s="496">
        <f>'G-1 All Habitats'!B142</f>
        <v>0</v>
      </c>
    </row>
    <row r="129" spans="1:4" x14ac:dyDescent="0.25">
      <c r="A129" s="496" t="s">
        <v>1426</v>
      </c>
      <c r="D129" s="496">
        <f>'G-1 All Habitats'!B143</f>
        <v>0</v>
      </c>
    </row>
    <row r="130" spans="1:4" x14ac:dyDescent="0.25">
      <c r="A130" s="496" t="s">
        <v>1427</v>
      </c>
      <c r="D130" s="496">
        <f>'G-1 All Habitats'!B144</f>
        <v>0</v>
      </c>
    </row>
    <row r="131" spans="1:4" x14ac:dyDescent="0.25">
      <c r="A131" s="496" t="s">
        <v>1428</v>
      </c>
      <c r="D131" s="496">
        <f>'G-1 All Habitats'!B145</f>
        <v>0</v>
      </c>
    </row>
    <row r="132" spans="1:4" x14ac:dyDescent="0.25">
      <c r="A132" s="496" t="s">
        <v>1429</v>
      </c>
      <c r="D132" s="496">
        <f>'G-1 All Habitats'!B146</f>
        <v>0</v>
      </c>
    </row>
    <row r="133" spans="1:4" x14ac:dyDescent="0.25">
      <c r="A133" s="496" t="s">
        <v>1430</v>
      </c>
      <c r="D133" s="496">
        <f>'G-1 All Habitats'!B147</f>
        <v>0</v>
      </c>
    </row>
    <row r="134" spans="1:4" x14ac:dyDescent="0.25">
      <c r="A134" s="496" t="s">
        <v>1431</v>
      </c>
      <c r="D134" s="496">
        <f>'G-1 All Habitats'!B148</f>
        <v>0</v>
      </c>
    </row>
    <row r="135" spans="1:4" x14ac:dyDescent="0.25">
      <c r="A135" s="496" t="s">
        <v>1432</v>
      </c>
      <c r="D135" s="496">
        <f>'G-1 All Habitats'!B149</f>
        <v>0</v>
      </c>
    </row>
    <row r="136" spans="1:4" x14ac:dyDescent="0.25">
      <c r="A136" s="496" t="s">
        <v>1433</v>
      </c>
      <c r="D136" s="496">
        <f>'G-1 All Habitats'!B150</f>
        <v>0</v>
      </c>
    </row>
    <row r="137" spans="1:4" x14ac:dyDescent="0.25">
      <c r="A137" s="496" t="s">
        <v>1434</v>
      </c>
      <c r="D137" s="496">
        <f>'G-1 All Habitats'!B151</f>
        <v>0</v>
      </c>
    </row>
    <row r="138" spans="1:4" x14ac:dyDescent="0.25">
      <c r="A138" s="496" t="s">
        <v>1435</v>
      </c>
      <c r="D138" s="496">
        <f>'G-1 All Habitats'!B152</f>
        <v>0</v>
      </c>
    </row>
    <row r="139" spans="1:4" x14ac:dyDescent="0.25">
      <c r="A139" s="496" t="s">
        <v>1436</v>
      </c>
      <c r="D139" s="496">
        <f>'G-1 All Habitats'!B153</f>
        <v>0</v>
      </c>
    </row>
    <row r="140" spans="1:4" x14ac:dyDescent="0.25">
      <c r="A140" s="496" t="s">
        <v>1437</v>
      </c>
      <c r="D140" s="496">
        <f>'G-1 All Habitats'!B154</f>
        <v>0</v>
      </c>
    </row>
    <row r="141" spans="1:4" x14ac:dyDescent="0.25">
      <c r="A141" s="496" t="s">
        <v>1438</v>
      </c>
    </row>
    <row r="142" spans="1:4" x14ac:dyDescent="0.25">
      <c r="A142" s="496" t="s">
        <v>1439</v>
      </c>
    </row>
    <row r="143" spans="1:4" x14ac:dyDescent="0.25">
      <c r="A143" s="496" t="s">
        <v>1440</v>
      </c>
    </row>
    <row r="144" spans="1:4" x14ac:dyDescent="0.25">
      <c r="A144" s="496" t="s">
        <v>1441</v>
      </c>
    </row>
    <row r="145" spans="1:1" x14ac:dyDescent="0.25">
      <c r="A145" s="496" t="s">
        <v>1442</v>
      </c>
    </row>
    <row r="146" spans="1:1" x14ac:dyDescent="0.25">
      <c r="A146" s="496" t="s">
        <v>1443</v>
      </c>
    </row>
    <row r="147" spans="1:1" x14ac:dyDescent="0.25">
      <c r="A147" s="496" t="s">
        <v>1444</v>
      </c>
    </row>
    <row r="148" spans="1:1" x14ac:dyDescent="0.25">
      <c r="A148" s="496" t="s">
        <v>1445</v>
      </c>
    </row>
    <row r="149" spans="1:1" x14ac:dyDescent="0.25">
      <c r="A149" s="496" t="s">
        <v>1446</v>
      </c>
    </row>
    <row r="150" spans="1:1" x14ac:dyDescent="0.25">
      <c r="A150" s="496" t="s">
        <v>1447</v>
      </c>
    </row>
    <row r="151" spans="1:1" x14ac:dyDescent="0.25">
      <c r="A151" s="496" t="s">
        <v>1448</v>
      </c>
    </row>
    <row r="152" spans="1:1" x14ac:dyDescent="0.25">
      <c r="A152" s="496" t="s">
        <v>1449</v>
      </c>
    </row>
    <row r="153" spans="1:1" x14ac:dyDescent="0.25">
      <c r="A153" s="496" t="s">
        <v>1450</v>
      </c>
    </row>
    <row r="154" spans="1:1" x14ac:dyDescent="0.25">
      <c r="A154" s="496" t="s">
        <v>1451</v>
      </c>
    </row>
    <row r="155" spans="1:1" x14ac:dyDescent="0.25">
      <c r="A155" s="496" t="s">
        <v>1452</v>
      </c>
    </row>
    <row r="156" spans="1:1" x14ac:dyDescent="0.25">
      <c r="A156" s="496" t="s">
        <v>1453</v>
      </c>
    </row>
    <row r="157" spans="1:1" x14ac:dyDescent="0.25">
      <c r="A157" s="496" t="s">
        <v>1454</v>
      </c>
    </row>
    <row r="158" spans="1:1" x14ac:dyDescent="0.25">
      <c r="A158" s="496" t="s">
        <v>1455</v>
      </c>
    </row>
    <row r="159" spans="1:1" x14ac:dyDescent="0.25">
      <c r="A159" s="496" t="s">
        <v>1456</v>
      </c>
    </row>
    <row r="160" spans="1:1" x14ac:dyDescent="0.25">
      <c r="A160" s="496" t="s">
        <v>1457</v>
      </c>
    </row>
    <row r="161" spans="1:1" x14ac:dyDescent="0.25">
      <c r="A161" s="496" t="s">
        <v>1458</v>
      </c>
    </row>
    <row r="162" spans="1:1" x14ac:dyDescent="0.25">
      <c r="A162" s="496" t="s">
        <v>1459</v>
      </c>
    </row>
    <row r="163" spans="1:1" x14ac:dyDescent="0.25">
      <c r="A163" s="496" t="s">
        <v>1460</v>
      </c>
    </row>
    <row r="164" spans="1:1" x14ac:dyDescent="0.25">
      <c r="A164" s="496" t="s">
        <v>1461</v>
      </c>
    </row>
    <row r="165" spans="1:1" x14ac:dyDescent="0.25">
      <c r="A165" s="496" t="s">
        <v>1462</v>
      </c>
    </row>
    <row r="166" spans="1:1" x14ac:dyDescent="0.25">
      <c r="A166" s="496" t="s">
        <v>1463</v>
      </c>
    </row>
    <row r="167" spans="1:1" x14ac:dyDescent="0.25">
      <c r="A167" s="496" t="s">
        <v>1464</v>
      </c>
    </row>
    <row r="168" spans="1:1" x14ac:dyDescent="0.25">
      <c r="A168" s="496" t="s">
        <v>1465</v>
      </c>
    </row>
    <row r="169" spans="1:1" x14ac:dyDescent="0.25">
      <c r="A169" s="496" t="s">
        <v>1466</v>
      </c>
    </row>
    <row r="170" spans="1:1" x14ac:dyDescent="0.25">
      <c r="A170" s="496" t="s">
        <v>1467</v>
      </c>
    </row>
    <row r="171" spans="1:1" x14ac:dyDescent="0.25">
      <c r="A171" s="496" t="s">
        <v>1468</v>
      </c>
    </row>
    <row r="172" spans="1:1" x14ac:dyDescent="0.25">
      <c r="A172" s="496" t="s">
        <v>1469</v>
      </c>
    </row>
    <row r="173" spans="1:1" x14ac:dyDescent="0.25">
      <c r="A173" s="496" t="s">
        <v>1470</v>
      </c>
    </row>
    <row r="174" spans="1:1" x14ac:dyDescent="0.25">
      <c r="A174" s="496" t="s">
        <v>1471</v>
      </c>
    </row>
    <row r="175" spans="1:1" x14ac:dyDescent="0.25">
      <c r="A175" s="496" t="s">
        <v>1472</v>
      </c>
    </row>
    <row r="176" spans="1:1" x14ac:dyDescent="0.25">
      <c r="A176" s="496" t="s">
        <v>1473</v>
      </c>
    </row>
    <row r="177" spans="1:1" x14ac:dyDescent="0.25">
      <c r="A177" s="496" t="s">
        <v>1474</v>
      </c>
    </row>
    <row r="178" spans="1:1" x14ac:dyDescent="0.25">
      <c r="A178" s="496" t="s">
        <v>1475</v>
      </c>
    </row>
    <row r="179" spans="1:1" x14ac:dyDescent="0.25">
      <c r="A179" s="496" t="s">
        <v>1476</v>
      </c>
    </row>
    <row r="180" spans="1:1" x14ac:dyDescent="0.25">
      <c r="A180" s="496" t="s">
        <v>1477</v>
      </c>
    </row>
    <row r="181" spans="1:1" x14ac:dyDescent="0.25">
      <c r="A181" s="496" t="s">
        <v>1478</v>
      </c>
    </row>
    <row r="182" spans="1:1" x14ac:dyDescent="0.25">
      <c r="A182" s="496" t="s">
        <v>1479</v>
      </c>
    </row>
    <row r="183" spans="1:1" x14ac:dyDescent="0.25">
      <c r="A183" s="496" t="s">
        <v>1480</v>
      </c>
    </row>
    <row r="184" spans="1:1" x14ac:dyDescent="0.25">
      <c r="A184" s="496" t="s">
        <v>1481</v>
      </c>
    </row>
    <row r="185" spans="1:1" x14ac:dyDescent="0.25">
      <c r="A185" s="496" t="s">
        <v>1482</v>
      </c>
    </row>
    <row r="186" spans="1:1" x14ac:dyDescent="0.25">
      <c r="A186" s="496" t="s">
        <v>1483</v>
      </c>
    </row>
    <row r="187" spans="1:1" x14ac:dyDescent="0.25">
      <c r="A187" s="496" t="s">
        <v>1484</v>
      </c>
    </row>
    <row r="188" spans="1:1" x14ac:dyDescent="0.25">
      <c r="A188" s="496" t="s">
        <v>1485</v>
      </c>
    </row>
    <row r="189" spans="1:1" x14ac:dyDescent="0.25">
      <c r="A189" s="496" t="s">
        <v>1486</v>
      </c>
    </row>
    <row r="190" spans="1:1" x14ac:dyDescent="0.25">
      <c r="A190" s="496" t="s">
        <v>1487</v>
      </c>
    </row>
    <row r="191" spans="1:1" x14ac:dyDescent="0.25">
      <c r="A191" s="496" t="s">
        <v>1488</v>
      </c>
    </row>
    <row r="192" spans="1:1" x14ac:dyDescent="0.25">
      <c r="A192" s="496" t="s">
        <v>1489</v>
      </c>
    </row>
    <row r="193" spans="1:1" x14ac:dyDescent="0.25">
      <c r="A193" s="496" t="s">
        <v>1490</v>
      </c>
    </row>
    <row r="194" spans="1:1" x14ac:dyDescent="0.25">
      <c r="A194" s="496" t="s">
        <v>1491</v>
      </c>
    </row>
    <row r="195" spans="1:1" x14ac:dyDescent="0.25">
      <c r="A195" s="496" t="s">
        <v>1492</v>
      </c>
    </row>
    <row r="196" spans="1:1" x14ac:dyDescent="0.25">
      <c r="A196" s="496" t="s">
        <v>1493</v>
      </c>
    </row>
    <row r="197" spans="1:1" x14ac:dyDescent="0.25">
      <c r="A197" s="496" t="s">
        <v>1494</v>
      </c>
    </row>
    <row r="198" spans="1:1" x14ac:dyDescent="0.25">
      <c r="A198" s="496" t="s">
        <v>1495</v>
      </c>
    </row>
    <row r="199" spans="1:1" x14ac:dyDescent="0.25">
      <c r="A199" s="496" t="s">
        <v>1496</v>
      </c>
    </row>
    <row r="200" spans="1:1" x14ac:dyDescent="0.25">
      <c r="A200" s="496" t="s">
        <v>1497</v>
      </c>
    </row>
    <row r="201" spans="1:1" x14ac:dyDescent="0.25">
      <c r="A201" s="496" t="s">
        <v>1498</v>
      </c>
    </row>
    <row r="202" spans="1:1" x14ac:dyDescent="0.25">
      <c r="A202" s="496" t="s">
        <v>1499</v>
      </c>
    </row>
    <row r="203" spans="1:1" x14ac:dyDescent="0.25">
      <c r="A203" s="496" t="s">
        <v>1500</v>
      </c>
    </row>
    <row r="204" spans="1:1" x14ac:dyDescent="0.25">
      <c r="A204" s="496" t="s">
        <v>1501</v>
      </c>
    </row>
    <row r="205" spans="1:1" x14ac:dyDescent="0.25">
      <c r="A205" s="496" t="s">
        <v>1502</v>
      </c>
    </row>
    <row r="206" spans="1:1" x14ac:dyDescent="0.25">
      <c r="A206" s="496" t="s">
        <v>1503</v>
      </c>
    </row>
    <row r="207" spans="1:1" x14ac:dyDescent="0.25">
      <c r="A207" s="496" t="s">
        <v>1504</v>
      </c>
    </row>
    <row r="208" spans="1:1" x14ac:dyDescent="0.25">
      <c r="A208" s="496" t="s">
        <v>1505</v>
      </c>
    </row>
    <row r="209" spans="1:1" x14ac:dyDescent="0.25">
      <c r="A209" s="496" t="s">
        <v>1506</v>
      </c>
    </row>
    <row r="210" spans="1:1" x14ac:dyDescent="0.25">
      <c r="A210" s="496" t="s">
        <v>1507</v>
      </c>
    </row>
    <row r="211" spans="1:1" x14ac:dyDescent="0.25">
      <c r="A211" s="496" t="s">
        <v>1508</v>
      </c>
    </row>
    <row r="212" spans="1:1" x14ac:dyDescent="0.25">
      <c r="A212" s="496" t="s">
        <v>1509</v>
      </c>
    </row>
    <row r="213" spans="1:1" x14ac:dyDescent="0.25">
      <c r="A213" s="496" t="s">
        <v>1510</v>
      </c>
    </row>
    <row r="214" spans="1:1" x14ac:dyDescent="0.25">
      <c r="A214" s="496" t="s">
        <v>1511</v>
      </c>
    </row>
    <row r="215" spans="1:1" x14ac:dyDescent="0.25">
      <c r="A215" s="496" t="s">
        <v>1512</v>
      </c>
    </row>
    <row r="216" spans="1:1" x14ac:dyDescent="0.25">
      <c r="A216" s="496" t="s">
        <v>1513</v>
      </c>
    </row>
    <row r="217" spans="1:1" x14ac:dyDescent="0.25">
      <c r="A217" s="496" t="s">
        <v>1514</v>
      </c>
    </row>
    <row r="218" spans="1:1" x14ac:dyDescent="0.25">
      <c r="A218" s="496" t="s">
        <v>1515</v>
      </c>
    </row>
    <row r="219" spans="1:1" x14ac:dyDescent="0.25">
      <c r="A219" s="496" t="s">
        <v>1516</v>
      </c>
    </row>
    <row r="220" spans="1:1" x14ac:dyDescent="0.25">
      <c r="A220" s="496" t="s">
        <v>1517</v>
      </c>
    </row>
    <row r="221" spans="1:1" x14ac:dyDescent="0.25">
      <c r="A221" s="496" t="s">
        <v>1518</v>
      </c>
    </row>
    <row r="222" spans="1:1" x14ac:dyDescent="0.25">
      <c r="A222" s="496" t="s">
        <v>1519</v>
      </c>
    </row>
    <row r="223" spans="1:1" x14ac:dyDescent="0.25">
      <c r="A223" s="496" t="s">
        <v>1520</v>
      </c>
    </row>
    <row r="224" spans="1:1" x14ac:dyDescent="0.25">
      <c r="A224" s="496" t="s">
        <v>1521</v>
      </c>
    </row>
    <row r="225" spans="1:1" x14ac:dyDescent="0.25">
      <c r="A225" s="496" t="s">
        <v>1522</v>
      </c>
    </row>
    <row r="226" spans="1:1" x14ac:dyDescent="0.25">
      <c r="A226" s="496" t="s">
        <v>1523</v>
      </c>
    </row>
    <row r="227" spans="1:1" x14ac:dyDescent="0.25">
      <c r="A227" s="496" t="s">
        <v>1524</v>
      </c>
    </row>
    <row r="228" spans="1:1" x14ac:dyDescent="0.25">
      <c r="A228" s="496" t="s">
        <v>1525</v>
      </c>
    </row>
    <row r="229" spans="1:1" x14ac:dyDescent="0.25">
      <c r="A229" s="496" t="s">
        <v>1526</v>
      </c>
    </row>
    <row r="230" spans="1:1" x14ac:dyDescent="0.25">
      <c r="A230" s="496" t="s">
        <v>1527</v>
      </c>
    </row>
    <row r="231" spans="1:1" x14ac:dyDescent="0.25">
      <c r="A231" s="496" t="s">
        <v>1528</v>
      </c>
    </row>
    <row r="232" spans="1:1" x14ac:dyDescent="0.25">
      <c r="A232" s="496" t="s">
        <v>1529</v>
      </c>
    </row>
    <row r="233" spans="1:1" x14ac:dyDescent="0.25">
      <c r="A233" s="496" t="s">
        <v>1530</v>
      </c>
    </row>
    <row r="234" spans="1:1" x14ac:dyDescent="0.25">
      <c r="A234" s="496" t="s">
        <v>1531</v>
      </c>
    </row>
    <row r="235" spans="1:1" x14ac:dyDescent="0.25">
      <c r="A235" s="496" t="s">
        <v>1532</v>
      </c>
    </row>
    <row r="236" spans="1:1" x14ac:dyDescent="0.25">
      <c r="A236" s="496" t="s">
        <v>1533</v>
      </c>
    </row>
    <row r="237" spans="1:1" x14ac:dyDescent="0.25">
      <c r="A237" s="496" t="s">
        <v>1534</v>
      </c>
    </row>
    <row r="238" spans="1:1" x14ac:dyDescent="0.25">
      <c r="A238" s="496" t="s">
        <v>1535</v>
      </c>
    </row>
    <row r="239" spans="1:1" x14ac:dyDescent="0.25">
      <c r="A239" s="496" t="s">
        <v>1536</v>
      </c>
    </row>
    <row r="240" spans="1:1" x14ac:dyDescent="0.25">
      <c r="A240" s="496" t="s">
        <v>1537</v>
      </c>
    </row>
    <row r="241" spans="1:1" x14ac:dyDescent="0.25">
      <c r="A241" s="496" t="s">
        <v>1538</v>
      </c>
    </row>
    <row r="242" spans="1:1" x14ac:dyDescent="0.25">
      <c r="A242" s="496" t="s">
        <v>1539</v>
      </c>
    </row>
    <row r="243" spans="1:1" x14ac:dyDescent="0.25">
      <c r="A243" s="496" t="s">
        <v>1540</v>
      </c>
    </row>
    <row r="244" spans="1:1" x14ac:dyDescent="0.25">
      <c r="A244" s="496" t="s">
        <v>1541</v>
      </c>
    </row>
    <row r="245" spans="1:1" x14ac:dyDescent="0.25">
      <c r="A245" s="496" t="s">
        <v>1542</v>
      </c>
    </row>
    <row r="246" spans="1:1" x14ac:dyDescent="0.25">
      <c r="A246" s="496" t="s">
        <v>1543</v>
      </c>
    </row>
    <row r="247" spans="1:1" x14ac:dyDescent="0.25">
      <c r="A247" s="496" t="s">
        <v>1544</v>
      </c>
    </row>
    <row r="248" spans="1:1" x14ac:dyDescent="0.25">
      <c r="A248" s="496" t="s">
        <v>1545</v>
      </c>
    </row>
    <row r="249" spans="1:1" x14ac:dyDescent="0.25">
      <c r="A249" s="496" t="s">
        <v>1546</v>
      </c>
    </row>
    <row r="250" spans="1:1" x14ac:dyDescent="0.25">
      <c r="A250" s="496" t="s">
        <v>1547</v>
      </c>
    </row>
    <row r="251" spans="1:1" x14ac:dyDescent="0.25">
      <c r="A251" s="496" t="s">
        <v>1548</v>
      </c>
    </row>
    <row r="252" spans="1:1" x14ac:dyDescent="0.25">
      <c r="A252" s="496" t="s">
        <v>1549</v>
      </c>
    </row>
    <row r="253" spans="1:1" x14ac:dyDescent="0.25">
      <c r="A253" s="496" t="s">
        <v>1550</v>
      </c>
    </row>
    <row r="254" spans="1:1" x14ac:dyDescent="0.25">
      <c r="A254" s="496" t="s">
        <v>1551</v>
      </c>
    </row>
    <row r="255" spans="1:1" x14ac:dyDescent="0.25">
      <c r="A255" s="496" t="s">
        <v>1552</v>
      </c>
    </row>
    <row r="256" spans="1:1" x14ac:dyDescent="0.25">
      <c r="A256" s="496" t="s">
        <v>1553</v>
      </c>
    </row>
    <row r="257" spans="1:1" x14ac:dyDescent="0.25">
      <c r="A257" s="496" t="s">
        <v>1554</v>
      </c>
    </row>
    <row r="258" spans="1:1" x14ac:dyDescent="0.25">
      <c r="A258" s="496" t="s">
        <v>1555</v>
      </c>
    </row>
    <row r="259" spans="1:1" x14ac:dyDescent="0.25">
      <c r="A259" s="496" t="s">
        <v>1556</v>
      </c>
    </row>
    <row r="260" spans="1:1" x14ac:dyDescent="0.25">
      <c r="A260" s="496" t="s">
        <v>1557</v>
      </c>
    </row>
    <row r="261" spans="1:1" x14ac:dyDescent="0.25">
      <c r="A261" s="496" t="s">
        <v>1558</v>
      </c>
    </row>
    <row r="262" spans="1:1" x14ac:dyDescent="0.25">
      <c r="A262" s="496" t="s">
        <v>1559</v>
      </c>
    </row>
    <row r="263" spans="1:1" x14ac:dyDescent="0.25">
      <c r="A263" s="496" t="s">
        <v>1560</v>
      </c>
    </row>
    <row r="264" spans="1:1" x14ac:dyDescent="0.25">
      <c r="A264" s="496" t="s">
        <v>1561</v>
      </c>
    </row>
    <row r="265" spans="1:1" x14ac:dyDescent="0.25">
      <c r="A265" s="496" t="s">
        <v>1562</v>
      </c>
    </row>
    <row r="266" spans="1:1" x14ac:dyDescent="0.25">
      <c r="A266" s="496" t="s">
        <v>1563</v>
      </c>
    </row>
    <row r="267" spans="1:1" x14ac:dyDescent="0.25">
      <c r="A267" s="496" t="s">
        <v>1564</v>
      </c>
    </row>
    <row r="268" spans="1:1" x14ac:dyDescent="0.25">
      <c r="A268" s="496" t="s">
        <v>1565</v>
      </c>
    </row>
    <row r="269" spans="1:1" x14ac:dyDescent="0.25">
      <c r="A269" s="496" t="s">
        <v>1566</v>
      </c>
    </row>
    <row r="270" spans="1:1" x14ac:dyDescent="0.25">
      <c r="A270" s="496" t="s">
        <v>1567</v>
      </c>
    </row>
    <row r="271" spans="1:1" x14ac:dyDescent="0.25">
      <c r="A271" s="496" t="s">
        <v>1568</v>
      </c>
    </row>
    <row r="272" spans="1:1" x14ac:dyDescent="0.25">
      <c r="A272" s="496" t="s">
        <v>1569</v>
      </c>
    </row>
    <row r="273" spans="1:1" x14ac:dyDescent="0.25">
      <c r="A273" s="496" t="s">
        <v>1570</v>
      </c>
    </row>
    <row r="274" spans="1:1" x14ac:dyDescent="0.25">
      <c r="A274" s="496" t="s">
        <v>1571</v>
      </c>
    </row>
    <row r="275" spans="1:1" x14ac:dyDescent="0.25">
      <c r="A275" s="496" t="s">
        <v>1572</v>
      </c>
    </row>
    <row r="276" spans="1:1" x14ac:dyDescent="0.25">
      <c r="A276" s="496" t="s">
        <v>1573</v>
      </c>
    </row>
    <row r="277" spans="1:1" x14ac:dyDescent="0.25">
      <c r="A277" s="496" t="s">
        <v>1574</v>
      </c>
    </row>
    <row r="278" spans="1:1" x14ac:dyDescent="0.25">
      <c r="A278" s="496" t="s">
        <v>1575</v>
      </c>
    </row>
    <row r="279" spans="1:1" x14ac:dyDescent="0.25">
      <c r="A279" s="496" t="s">
        <v>1576</v>
      </c>
    </row>
    <row r="280" spans="1:1" x14ac:dyDescent="0.25">
      <c r="A280" s="496" t="s">
        <v>1577</v>
      </c>
    </row>
    <row r="281" spans="1:1" x14ac:dyDescent="0.25">
      <c r="A281" s="496" t="s">
        <v>1578</v>
      </c>
    </row>
    <row r="282" spans="1:1" x14ac:dyDescent="0.25">
      <c r="A282" s="496" t="s">
        <v>1579</v>
      </c>
    </row>
    <row r="283" spans="1:1" x14ac:dyDescent="0.25">
      <c r="A283" s="496" t="s">
        <v>1580</v>
      </c>
    </row>
    <row r="284" spans="1:1" x14ac:dyDescent="0.25">
      <c r="A284" s="496" t="s">
        <v>1581</v>
      </c>
    </row>
    <row r="285" spans="1:1" x14ac:dyDescent="0.25">
      <c r="A285" s="496" t="s">
        <v>1582</v>
      </c>
    </row>
    <row r="286" spans="1:1" x14ac:dyDescent="0.25">
      <c r="A286" s="496" t="s">
        <v>1583</v>
      </c>
    </row>
    <row r="287" spans="1:1" x14ac:dyDescent="0.25">
      <c r="A287" s="496" t="s">
        <v>1584</v>
      </c>
    </row>
    <row r="288" spans="1:1" x14ac:dyDescent="0.25">
      <c r="A288" s="496" t="s">
        <v>1585</v>
      </c>
    </row>
    <row r="289" spans="1:1" x14ac:dyDescent="0.25">
      <c r="A289" s="496" t="s">
        <v>1586</v>
      </c>
    </row>
    <row r="290" spans="1:1" x14ac:dyDescent="0.25">
      <c r="A290" s="496" t="s">
        <v>1587</v>
      </c>
    </row>
    <row r="291" spans="1:1" x14ac:dyDescent="0.25">
      <c r="A291" s="496" t="s">
        <v>1588</v>
      </c>
    </row>
    <row r="292" spans="1:1" x14ac:dyDescent="0.25">
      <c r="A292" s="496" t="s">
        <v>1589</v>
      </c>
    </row>
    <row r="293" spans="1:1" x14ac:dyDescent="0.25">
      <c r="A293" s="496" t="s">
        <v>1590</v>
      </c>
    </row>
    <row r="294" spans="1:1" x14ac:dyDescent="0.25">
      <c r="A294" s="496" t="s">
        <v>1591</v>
      </c>
    </row>
    <row r="295" spans="1:1" x14ac:dyDescent="0.25">
      <c r="A295" s="496" t="s">
        <v>1592</v>
      </c>
    </row>
    <row r="296" spans="1:1" x14ac:dyDescent="0.25">
      <c r="A296" s="496" t="s">
        <v>1593</v>
      </c>
    </row>
    <row r="297" spans="1:1" x14ac:dyDescent="0.25">
      <c r="A297" s="496" t="s">
        <v>1594</v>
      </c>
    </row>
    <row r="298" spans="1:1" x14ac:dyDescent="0.25">
      <c r="A298" s="496" t="s">
        <v>1595</v>
      </c>
    </row>
    <row r="299" spans="1:1" x14ac:dyDescent="0.25">
      <c r="A299" s="496" t="s">
        <v>1596</v>
      </c>
    </row>
    <row r="300" spans="1:1" x14ac:dyDescent="0.25">
      <c r="A300" s="496" t="s">
        <v>1597</v>
      </c>
    </row>
    <row r="301" spans="1:1" x14ac:dyDescent="0.25">
      <c r="A301" s="496" t="s">
        <v>1598</v>
      </c>
    </row>
    <row r="302" spans="1:1" x14ac:dyDescent="0.25">
      <c r="A302" s="496" t="s">
        <v>1599</v>
      </c>
    </row>
    <row r="303" spans="1:1" x14ac:dyDescent="0.25">
      <c r="A303" s="496" t="s">
        <v>1600</v>
      </c>
    </row>
    <row r="304" spans="1:1" x14ac:dyDescent="0.25">
      <c r="A304" s="496" t="s">
        <v>1601</v>
      </c>
    </row>
    <row r="305" spans="1:1" x14ac:dyDescent="0.25">
      <c r="A305" s="496" t="s">
        <v>1602</v>
      </c>
    </row>
    <row r="306" spans="1:1" x14ac:dyDescent="0.25">
      <c r="A306" s="496" t="s">
        <v>1603</v>
      </c>
    </row>
    <row r="307" spans="1:1" x14ac:dyDescent="0.25">
      <c r="A307" s="496" t="s">
        <v>1604</v>
      </c>
    </row>
    <row r="308" spans="1:1" x14ac:dyDescent="0.25">
      <c r="A308" s="496" t="s">
        <v>1605</v>
      </c>
    </row>
    <row r="309" spans="1:1" x14ac:dyDescent="0.25">
      <c r="A309" s="496" t="s">
        <v>1606</v>
      </c>
    </row>
    <row r="310" spans="1:1" x14ac:dyDescent="0.25">
      <c r="A310" s="496" t="s">
        <v>1607</v>
      </c>
    </row>
    <row r="311" spans="1:1" x14ac:dyDescent="0.25">
      <c r="A311" s="496" t="s">
        <v>1608</v>
      </c>
    </row>
    <row r="312" spans="1:1" x14ac:dyDescent="0.25">
      <c r="A312" s="496" t="s">
        <v>1609</v>
      </c>
    </row>
    <row r="313" spans="1:1" x14ac:dyDescent="0.25">
      <c r="A313" s="496" t="s">
        <v>1610</v>
      </c>
    </row>
    <row r="314" spans="1:1" x14ac:dyDescent="0.25">
      <c r="A314" s="496" t="s">
        <v>1611</v>
      </c>
    </row>
    <row r="315" spans="1:1" x14ac:dyDescent="0.25">
      <c r="A315" s="496" t="s">
        <v>1612</v>
      </c>
    </row>
    <row r="316" spans="1:1" x14ac:dyDescent="0.25">
      <c r="A316" s="496" t="s">
        <v>1613</v>
      </c>
    </row>
    <row r="317" spans="1:1" x14ac:dyDescent="0.25">
      <c r="A317" s="496" t="s">
        <v>1614</v>
      </c>
    </row>
    <row r="318" spans="1:1" x14ac:dyDescent="0.25">
      <c r="A318" s="496" t="s">
        <v>1615</v>
      </c>
    </row>
    <row r="319" spans="1:1" x14ac:dyDescent="0.25">
      <c r="A319" s="496" t="s">
        <v>1616</v>
      </c>
    </row>
    <row r="320" spans="1:1" x14ac:dyDescent="0.25">
      <c r="A320" s="496" t="s">
        <v>1617</v>
      </c>
    </row>
    <row r="321" spans="1:1" x14ac:dyDescent="0.25">
      <c r="A321" s="496" t="s">
        <v>1618</v>
      </c>
    </row>
    <row r="322" spans="1:1" x14ac:dyDescent="0.25">
      <c r="A322" s="496" t="s">
        <v>1619</v>
      </c>
    </row>
    <row r="323" spans="1:1" x14ac:dyDescent="0.25">
      <c r="A323" s="496" t="s">
        <v>1620</v>
      </c>
    </row>
    <row r="324" spans="1:1" x14ac:dyDescent="0.25">
      <c r="A324" s="496" t="s">
        <v>1621</v>
      </c>
    </row>
    <row r="325" spans="1:1" x14ac:dyDescent="0.25">
      <c r="A325" s="496" t="s">
        <v>1622</v>
      </c>
    </row>
    <row r="326" spans="1:1" x14ac:dyDescent="0.25">
      <c r="A326" s="496" t="s">
        <v>1623</v>
      </c>
    </row>
    <row r="327" spans="1:1" x14ac:dyDescent="0.25">
      <c r="A327" s="496" t="s">
        <v>1624</v>
      </c>
    </row>
    <row r="328" spans="1:1" x14ac:dyDescent="0.25">
      <c r="A328" s="496" t="s">
        <v>1625</v>
      </c>
    </row>
    <row r="329" spans="1:1" x14ac:dyDescent="0.25">
      <c r="A329" s="496" t="s">
        <v>1626</v>
      </c>
    </row>
    <row r="330" spans="1:1" x14ac:dyDescent="0.25">
      <c r="A330" s="496" t="s">
        <v>1627</v>
      </c>
    </row>
    <row r="331" spans="1:1" x14ac:dyDescent="0.25">
      <c r="A331" s="496" t="s">
        <v>1628</v>
      </c>
    </row>
    <row r="332" spans="1:1" x14ac:dyDescent="0.25">
      <c r="A332" s="496" t="s">
        <v>1629</v>
      </c>
    </row>
    <row r="333" spans="1:1" x14ac:dyDescent="0.25">
      <c r="A333" s="496" t="s">
        <v>1630</v>
      </c>
    </row>
    <row r="334" spans="1:1" x14ac:dyDescent="0.25">
      <c r="A334" s="496" t="s">
        <v>1631</v>
      </c>
    </row>
    <row r="335" spans="1:1" x14ac:dyDescent="0.25">
      <c r="A335" s="496" t="s">
        <v>1632</v>
      </c>
    </row>
    <row r="336" spans="1:1" x14ac:dyDescent="0.25">
      <c r="A336" s="496" t="s">
        <v>1633</v>
      </c>
    </row>
    <row r="337" spans="1:1" x14ac:dyDescent="0.25">
      <c r="A337" s="496" t="s">
        <v>1634</v>
      </c>
    </row>
    <row r="338" spans="1:1" x14ac:dyDescent="0.25">
      <c r="A338" s="496" t="s">
        <v>1635</v>
      </c>
    </row>
    <row r="339" spans="1:1" x14ac:dyDescent="0.25">
      <c r="A339" s="496" t="s">
        <v>1636</v>
      </c>
    </row>
    <row r="340" spans="1:1" x14ac:dyDescent="0.25">
      <c r="A340" s="496" t="s">
        <v>1637</v>
      </c>
    </row>
    <row r="341" spans="1:1" x14ac:dyDescent="0.25">
      <c r="A341" s="496" t="s">
        <v>1638</v>
      </c>
    </row>
    <row r="342" spans="1:1" x14ac:dyDescent="0.25">
      <c r="A342" s="496" t="s">
        <v>1639</v>
      </c>
    </row>
    <row r="343" spans="1:1" x14ac:dyDescent="0.25">
      <c r="A343" s="496" t="s">
        <v>1640</v>
      </c>
    </row>
    <row r="344" spans="1:1" x14ac:dyDescent="0.25">
      <c r="A344" s="496" t="s">
        <v>1641</v>
      </c>
    </row>
    <row r="345" spans="1:1" x14ac:dyDescent="0.25">
      <c r="A345" s="496" t="s">
        <v>1642</v>
      </c>
    </row>
    <row r="346" spans="1:1" x14ac:dyDescent="0.25">
      <c r="A346" s="496" t="s">
        <v>1643</v>
      </c>
    </row>
    <row r="347" spans="1:1" x14ac:dyDescent="0.25">
      <c r="A347" s="496" t="s">
        <v>1644</v>
      </c>
    </row>
    <row r="348" spans="1:1" x14ac:dyDescent="0.25">
      <c r="A348" s="496" t="s">
        <v>1645</v>
      </c>
    </row>
    <row r="349" spans="1:1" x14ac:dyDescent="0.25">
      <c r="A349" s="496" t="s">
        <v>1646</v>
      </c>
    </row>
    <row r="350" spans="1:1" x14ac:dyDescent="0.25">
      <c r="A350" s="496" t="s">
        <v>1647</v>
      </c>
    </row>
    <row r="351" spans="1:1" x14ac:dyDescent="0.25">
      <c r="A351" s="496" t="s">
        <v>1648</v>
      </c>
    </row>
    <row r="352" spans="1:1" x14ac:dyDescent="0.25">
      <c r="A352" s="496" t="s">
        <v>1649</v>
      </c>
    </row>
    <row r="353" spans="1:1" x14ac:dyDescent="0.25">
      <c r="A353" s="496" t="s">
        <v>1650</v>
      </c>
    </row>
    <row r="354" spans="1:1" x14ac:dyDescent="0.25">
      <c r="A354" s="496" t="s">
        <v>1651</v>
      </c>
    </row>
    <row r="355" spans="1:1" x14ac:dyDescent="0.25">
      <c r="A355" s="496" t="s">
        <v>1652</v>
      </c>
    </row>
    <row r="356" spans="1:1" x14ac:dyDescent="0.25">
      <c r="A356" s="496" t="s">
        <v>1653</v>
      </c>
    </row>
    <row r="357" spans="1:1" x14ac:dyDescent="0.25">
      <c r="A357" s="496" t="s">
        <v>1654</v>
      </c>
    </row>
    <row r="358" spans="1:1" x14ac:dyDescent="0.25">
      <c r="A358" s="496" t="s">
        <v>1655</v>
      </c>
    </row>
    <row r="359" spans="1:1" x14ac:dyDescent="0.25">
      <c r="A359" s="496" t="s">
        <v>1656</v>
      </c>
    </row>
    <row r="360" spans="1:1" x14ac:dyDescent="0.25">
      <c r="A360" s="496" t="s">
        <v>1657</v>
      </c>
    </row>
    <row r="361" spans="1:1" x14ac:dyDescent="0.25">
      <c r="A361" s="496" t="s">
        <v>1658</v>
      </c>
    </row>
    <row r="362" spans="1:1" x14ac:dyDescent="0.25">
      <c r="A362" s="496" t="s">
        <v>1659</v>
      </c>
    </row>
    <row r="363" spans="1:1" x14ac:dyDescent="0.25">
      <c r="A363" s="496" t="s">
        <v>1660</v>
      </c>
    </row>
    <row r="364" spans="1:1" x14ac:dyDescent="0.25">
      <c r="A364" s="496" t="s">
        <v>1661</v>
      </c>
    </row>
    <row r="365" spans="1:1" x14ac:dyDescent="0.25">
      <c r="A365" s="496" t="s">
        <v>1662</v>
      </c>
    </row>
    <row r="366" spans="1:1" x14ac:dyDescent="0.25">
      <c r="A366" s="496" t="s">
        <v>1663</v>
      </c>
    </row>
    <row r="367" spans="1:1" x14ac:dyDescent="0.25">
      <c r="A367" s="496" t="s">
        <v>1664</v>
      </c>
    </row>
    <row r="368" spans="1:1" x14ac:dyDescent="0.25">
      <c r="A368" s="496" t="s">
        <v>1665</v>
      </c>
    </row>
    <row r="369" spans="1:1" x14ac:dyDescent="0.25">
      <c r="A369" s="496" t="s">
        <v>1666</v>
      </c>
    </row>
    <row r="370" spans="1:1" x14ac:dyDescent="0.25">
      <c r="A370" s="496" t="s">
        <v>1667</v>
      </c>
    </row>
    <row r="371" spans="1:1" x14ac:dyDescent="0.25">
      <c r="A371" s="496" t="s">
        <v>1668</v>
      </c>
    </row>
    <row r="372" spans="1:1" x14ac:dyDescent="0.25">
      <c r="A372" s="496" t="s">
        <v>1669</v>
      </c>
    </row>
    <row r="373" spans="1:1" x14ac:dyDescent="0.25">
      <c r="A373" s="496" t="s">
        <v>1670</v>
      </c>
    </row>
    <row r="374" spans="1:1" x14ac:dyDescent="0.25">
      <c r="A374" s="496" t="s">
        <v>1671</v>
      </c>
    </row>
    <row r="375" spans="1:1" x14ac:dyDescent="0.25">
      <c r="A375" s="496" t="s">
        <v>1672</v>
      </c>
    </row>
    <row r="376" spans="1:1" x14ac:dyDescent="0.25">
      <c r="A376" s="496" t="s">
        <v>1673</v>
      </c>
    </row>
    <row r="377" spans="1:1" x14ac:dyDescent="0.25">
      <c r="A377" s="496" t="s">
        <v>1674</v>
      </c>
    </row>
    <row r="378" spans="1:1" x14ac:dyDescent="0.25">
      <c r="A378" s="496" t="s">
        <v>1675</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heetViews>
  <sheetFormatPr defaultColWidth="0" defaultRowHeight="0" customHeight="1" zeroHeight="1" x14ac:dyDescent="0.25"/>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9.140625" style="1" customWidth="1"/>
    <col min="20" max="20" width="12.85546875" style="1" bestFit="1" customWidth="1"/>
    <col min="21" max="21" width="8.140625" style="1" customWidth="1"/>
    <col min="22" max="22" width="12.85546875" style="1" bestFit="1" customWidth="1"/>
    <col min="23" max="23" width="9.5703125" style="1" customWidth="1"/>
    <col min="24" max="31" width="9.140625" style="1" customWidth="1"/>
    <col min="32" max="16384" width="9.140625" style="1" hidden="1"/>
  </cols>
  <sheetData>
    <row r="1" spans="1:23" ht="15.75" customHeight="1" x14ac:dyDescent="0.5">
      <c r="B1" s="2"/>
      <c r="C1" s="2"/>
      <c r="E1" s="6"/>
      <c r="F1" s="1097"/>
      <c r="G1" s="1097"/>
      <c r="H1" s="1097"/>
      <c r="I1" s="1097"/>
      <c r="J1" s="1097"/>
      <c r="K1" s="1098"/>
      <c r="L1" s="1098"/>
      <c r="M1" s="1098"/>
      <c r="N1" s="1098"/>
      <c r="O1" s="1098"/>
    </row>
    <row r="2" spans="1:23" ht="15.75" customHeight="1" x14ac:dyDescent="0.25">
      <c r="B2" s="2"/>
      <c r="C2" s="2"/>
      <c r="D2" s="1092"/>
      <c r="E2" s="1092"/>
    </row>
    <row r="3" spans="1:23" ht="15.75" customHeight="1" x14ac:dyDescent="0.5">
      <c r="A3" s="6"/>
      <c r="B3" s="6"/>
      <c r="C3" s="6"/>
      <c r="D3" s="6"/>
      <c r="E3" s="6"/>
      <c r="F3" s="7"/>
      <c r="G3" s="7"/>
      <c r="H3" s="7"/>
      <c r="I3" s="7"/>
      <c r="J3" s="7"/>
      <c r="K3" s="7"/>
      <c r="L3" s="7"/>
      <c r="M3" s="7"/>
      <c r="N3" s="7"/>
      <c r="O3" s="7"/>
      <c r="P3" s="7"/>
      <c r="Q3" s="1095" t="s">
        <v>62</v>
      </c>
      <c r="R3" s="1096"/>
      <c r="S3" s="1096"/>
    </row>
    <row r="4" spans="1:23" ht="35.25" customHeight="1" x14ac:dyDescent="0.5">
      <c r="A4" s="6"/>
      <c r="B4" s="6"/>
      <c r="C4" s="6"/>
      <c r="D4" s="6"/>
      <c r="E4" s="6"/>
      <c r="F4" s="7"/>
      <c r="G4" s="7"/>
      <c r="H4" s="7"/>
      <c r="I4" s="7"/>
      <c r="J4" s="7"/>
      <c r="K4" s="7"/>
      <c r="L4" s="7"/>
      <c r="M4" s="7"/>
      <c r="N4" s="7"/>
      <c r="O4" s="7"/>
      <c r="P4" s="7"/>
      <c r="Q4" s="1090" t="s">
        <v>63</v>
      </c>
      <c r="R4" s="1093" t="s">
        <v>64</v>
      </c>
      <c r="S4" s="1093"/>
      <c r="T4" s="1093"/>
      <c r="U4" s="1093"/>
      <c r="V4" s="1093"/>
      <c r="W4" s="1094"/>
    </row>
    <row r="5" spans="1:23" ht="16.5" customHeight="1" x14ac:dyDescent="0.5">
      <c r="A5" s="6"/>
      <c r="B5" s="6"/>
      <c r="C5" s="6"/>
      <c r="D5" s="6"/>
      <c r="E5" s="6"/>
      <c r="F5" s="4"/>
      <c r="G5" s="4"/>
      <c r="H5" s="4"/>
      <c r="I5" s="4"/>
      <c r="J5" s="4"/>
      <c r="K5" s="4"/>
      <c r="L5" s="4"/>
      <c r="M5" s="4"/>
      <c r="N5" s="4"/>
      <c r="O5" s="4"/>
      <c r="P5" s="4"/>
      <c r="Q5" s="1091"/>
      <c r="R5" s="473" t="s">
        <v>65</v>
      </c>
      <c r="S5" s="474" t="s">
        <v>66</v>
      </c>
      <c r="T5" s="475" t="s">
        <v>67</v>
      </c>
      <c r="U5" s="474" t="s">
        <v>66</v>
      </c>
      <c r="V5" s="474" t="s">
        <v>68</v>
      </c>
      <c r="W5" s="474" t="s">
        <v>66</v>
      </c>
    </row>
    <row r="6" spans="1:23" ht="16.5" customHeight="1" x14ac:dyDescent="0.5">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x14ac:dyDescent="0.5">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x14ac:dyDescent="0.5">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x14ac:dyDescent="0.25">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x14ac:dyDescent="0.35">
      <c r="B10" s="2"/>
      <c r="C10" s="2"/>
      <c r="D10" s="5"/>
      <c r="E10" s="5"/>
      <c r="F10" s="1089"/>
      <c r="G10" s="1089"/>
      <c r="H10" s="1089"/>
      <c r="I10" s="1089"/>
      <c r="J10" s="1089"/>
      <c r="K10" s="1089"/>
      <c r="L10" s="1089"/>
      <c r="M10" s="1089"/>
      <c r="N10" s="1089"/>
      <c r="O10" s="1089"/>
      <c r="P10" s="1089"/>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x14ac:dyDescent="0.2"/>
  <cols>
    <col min="1" max="3" width="2.140625" style="203" customWidth="1"/>
    <col min="4" max="4" width="18.7109375" style="203" customWidth="1"/>
    <col min="5" max="8" width="9.140625" style="203" customWidth="1"/>
    <col min="9" max="9" width="7" style="203" customWidth="1"/>
    <col min="10" max="12" width="9.140625" style="203" customWidth="1"/>
    <col min="13" max="13" width="12.140625" style="203" customWidth="1"/>
    <col min="14" max="14" width="5.7109375" style="203" customWidth="1"/>
    <col min="15" max="15" width="9.140625" style="203" customWidth="1"/>
    <col min="16" max="16" width="34.5703125" style="203" customWidth="1"/>
    <col min="17" max="17" width="13.7109375" style="203" bestFit="1" customWidth="1"/>
    <col min="18" max="18" width="19.28515625" style="203" customWidth="1"/>
    <col min="19" max="31" width="9.140625" style="203" customWidth="1"/>
    <col min="32" max="16384" width="9.140625" style="203" hidden="1"/>
  </cols>
  <sheetData>
    <row r="1" spans="1:18" ht="15.75" customHeight="1" x14ac:dyDescent="0.4">
      <c r="B1" s="204"/>
      <c r="C1" s="204"/>
      <c r="E1" s="205"/>
      <c r="F1" s="1099"/>
      <c r="G1" s="1099"/>
      <c r="H1" s="1099"/>
      <c r="I1" s="1099"/>
      <c r="J1" s="1099"/>
      <c r="K1" s="1100"/>
      <c r="L1" s="1100"/>
      <c r="M1" s="1100"/>
      <c r="N1" s="1100"/>
      <c r="O1" s="1100"/>
    </row>
    <row r="2" spans="1:18" ht="15.75" customHeight="1" x14ac:dyDescent="0.4">
      <c r="B2" s="204"/>
      <c r="C2" s="204"/>
      <c r="E2" s="205"/>
    </row>
    <row r="3" spans="1:18" ht="15.75" customHeight="1" x14ac:dyDescent="0.4">
      <c r="A3" s="205"/>
      <c r="B3" s="205"/>
      <c r="C3" s="205"/>
      <c r="D3" s="205"/>
      <c r="E3" s="205"/>
      <c r="F3" s="206"/>
      <c r="G3" s="206"/>
      <c r="H3" s="206"/>
      <c r="I3" s="206"/>
      <c r="J3" s="206"/>
      <c r="K3" s="206"/>
      <c r="L3" s="206"/>
      <c r="M3" s="206"/>
      <c r="N3" s="206"/>
      <c r="O3" s="206"/>
      <c r="P3" s="206"/>
    </row>
    <row r="4" spans="1:18" ht="16.5" customHeight="1" x14ac:dyDescent="0.4">
      <c r="A4" s="205"/>
      <c r="B4" s="205"/>
      <c r="C4" s="205"/>
      <c r="D4" s="205"/>
      <c r="E4" s="205"/>
      <c r="F4" s="206"/>
      <c r="G4" s="206"/>
      <c r="H4" s="206"/>
      <c r="I4" s="206"/>
      <c r="J4" s="206"/>
      <c r="K4" s="206"/>
      <c r="L4" s="206"/>
      <c r="M4" s="206"/>
      <c r="N4" s="206"/>
      <c r="O4" s="206"/>
      <c r="P4" s="206"/>
    </row>
    <row r="5" spans="1:18" ht="16.5" customHeight="1" x14ac:dyDescent="0.4">
      <c r="A5" s="205"/>
      <c r="B5" s="205"/>
      <c r="C5" s="205"/>
      <c r="D5" s="205"/>
      <c r="E5" s="205"/>
      <c r="F5" s="207"/>
      <c r="G5" s="207"/>
      <c r="H5" s="207"/>
      <c r="I5" s="207"/>
      <c r="J5" s="207"/>
      <c r="K5" s="207"/>
      <c r="L5" s="207"/>
      <c r="M5" s="207"/>
      <c r="N5" s="207"/>
      <c r="O5" s="207"/>
      <c r="P5" s="207"/>
      <c r="Q5" s="207"/>
      <c r="R5" s="207"/>
    </row>
    <row r="6" spans="1:18" ht="16.5" customHeight="1" x14ac:dyDescent="0.4">
      <c r="B6" s="204"/>
      <c r="C6" s="204"/>
      <c r="D6" s="205"/>
      <c r="E6" s="205"/>
      <c r="F6" s="207"/>
      <c r="G6" s="207"/>
      <c r="H6" s="207"/>
      <c r="I6" s="207"/>
      <c r="J6" s="207"/>
      <c r="K6" s="207"/>
      <c r="L6" s="207"/>
      <c r="M6" s="207"/>
      <c r="N6" s="207"/>
      <c r="O6" s="207"/>
      <c r="P6" s="207"/>
      <c r="Q6" s="207"/>
      <c r="R6" s="207"/>
    </row>
    <row r="7" spans="1:18" ht="16.5" customHeight="1" x14ac:dyDescent="0.4">
      <c r="B7" s="204"/>
      <c r="C7" s="205"/>
      <c r="D7" s="205"/>
      <c r="E7" s="205"/>
      <c r="F7" s="207"/>
      <c r="G7" s="207"/>
      <c r="H7" s="207"/>
      <c r="I7" s="207"/>
      <c r="J7" s="207"/>
      <c r="K7" s="207"/>
      <c r="L7" s="207"/>
      <c r="M7" s="207"/>
      <c r="N7" s="207"/>
      <c r="O7" s="207"/>
      <c r="P7" s="207"/>
      <c r="Q7" s="207"/>
      <c r="R7" s="207"/>
    </row>
    <row r="8" spans="1:18" ht="16.5" customHeight="1" x14ac:dyDescent="0.4">
      <c r="B8" s="204"/>
      <c r="C8" s="204"/>
      <c r="D8" s="205"/>
      <c r="E8" s="205"/>
      <c r="F8" s="207"/>
      <c r="G8" s="207"/>
      <c r="H8" s="207"/>
      <c r="I8" s="207"/>
      <c r="J8" s="207"/>
      <c r="K8" s="207"/>
      <c r="L8" s="207"/>
      <c r="M8" s="207"/>
      <c r="N8" s="207"/>
      <c r="O8" s="207"/>
      <c r="P8" s="207"/>
      <c r="Q8" s="207"/>
      <c r="R8" s="207"/>
    </row>
    <row r="9" spans="1:18" ht="16.5" customHeight="1" x14ac:dyDescent="0.2">
      <c r="B9" s="204"/>
      <c r="C9" s="204"/>
      <c r="D9" s="208"/>
      <c r="E9" s="208"/>
      <c r="F9" s="207"/>
      <c r="G9" s="207"/>
      <c r="H9" s="207"/>
      <c r="I9" s="207"/>
      <c r="J9" s="207"/>
      <c r="K9" s="207"/>
      <c r="L9" s="207"/>
      <c r="M9" s="207"/>
      <c r="N9" s="207"/>
      <c r="O9" s="207"/>
      <c r="P9" s="207"/>
      <c r="Q9" s="207"/>
      <c r="R9" s="207"/>
    </row>
    <row r="10" spans="1:18" ht="30" customHeight="1" x14ac:dyDescent="0.3">
      <c r="B10" s="204"/>
      <c r="C10" s="204"/>
      <c r="D10" s="1101"/>
      <c r="E10" s="1101"/>
      <c r="F10" s="1101"/>
      <c r="G10" s="1101"/>
      <c r="H10" s="1101"/>
      <c r="I10" s="1101"/>
      <c r="J10" s="1101"/>
      <c r="K10" s="1101"/>
      <c r="L10" s="1101"/>
      <c r="M10" s="1101"/>
    </row>
    <row r="11" spans="1:18" ht="16.5" customHeight="1" x14ac:dyDescent="0.2">
      <c r="B11" s="204"/>
      <c r="C11" s="204"/>
    </row>
    <row r="12" spans="1:18" ht="16.5" customHeight="1" x14ac:dyDescent="0.2">
      <c r="B12" s="204"/>
      <c r="C12" s="204"/>
    </row>
    <row r="13" spans="1:18" ht="16.5" customHeight="1" x14ac:dyDescent="0.2">
      <c r="B13" s="204"/>
      <c r="C13" s="204"/>
    </row>
    <row r="14" spans="1:18" ht="16.5" customHeight="1" x14ac:dyDescent="0.2">
      <c r="B14" s="204"/>
      <c r="C14" s="204"/>
    </row>
    <row r="15" spans="1:18" ht="16.5" customHeight="1" x14ac:dyDescent="0.2">
      <c r="B15" s="204"/>
      <c r="C15" s="204"/>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zoomScale="80" zoomScaleNormal="80" workbookViewId="0">
      <selection activeCell="H13" sqref="H13:I13"/>
    </sheetView>
  </sheetViews>
  <sheetFormatPr defaultColWidth="0" defaultRowHeight="14.25" zeroHeight="1" x14ac:dyDescent="0.2"/>
  <cols>
    <col min="1" max="1" width="10.710937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x14ac:dyDescent="0.25"/>
    <row r="2" spans="2:22" ht="19.149999999999999" customHeight="1" thickBot="1" x14ac:dyDescent="0.25">
      <c r="B2" s="1133" t="str">
        <f>IF(Start!$F$12="","",Start!$F$12)</f>
        <v>Botley West Solar Farm</v>
      </c>
      <c r="C2" s="1134"/>
      <c r="D2" s="1135"/>
      <c r="F2" s="1150"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Errors flagged below - please investigate further ▲</v>
      </c>
      <c r="G2" s="1150"/>
      <c r="H2" s="1150"/>
      <c r="I2" s="1150"/>
    </row>
    <row r="3" spans="2:22" ht="15.75" customHeight="1" x14ac:dyDescent="0.2">
      <c r="B3" s="1127" t="str">
        <f ca="1">MID(CELL("filename",A1),FIND("]",CELL("filename",A1))+1,256)</f>
        <v>Headline Results</v>
      </c>
      <c r="C3" s="1128"/>
      <c r="D3" s="1129"/>
      <c r="F3" s="1150"/>
      <c r="G3" s="1150"/>
      <c r="H3" s="1150"/>
      <c r="I3" s="1150"/>
    </row>
    <row r="4" spans="2:22" ht="15.75" customHeight="1" thickBot="1" x14ac:dyDescent="0.25">
      <c r="B4" s="1130"/>
      <c r="C4" s="1131"/>
      <c r="D4" s="1132"/>
      <c r="F4" s="1150"/>
      <c r="G4" s="1150"/>
      <c r="H4" s="1150"/>
      <c r="I4" s="1150"/>
    </row>
    <row r="5" spans="2:22" ht="9.9499999999999993" customHeight="1" x14ac:dyDescent="0.2">
      <c r="B5" s="1189" t="s">
        <v>73</v>
      </c>
      <c r="C5" s="1190"/>
      <c r="D5" s="1191"/>
      <c r="F5" s="1150"/>
      <c r="G5" s="1150"/>
      <c r="H5" s="1150"/>
      <c r="I5" s="1150"/>
    </row>
    <row r="6" spans="2:22" ht="9.9499999999999993" customHeight="1" x14ac:dyDescent="0.4">
      <c r="B6" s="1192"/>
      <c r="C6" s="1193"/>
      <c r="D6" s="1194"/>
      <c r="K6" s="23"/>
      <c r="L6" s="23"/>
      <c r="M6" s="23"/>
      <c r="N6" s="23"/>
    </row>
    <row r="7" spans="2:22" ht="9.9499999999999993" customHeight="1" thickBot="1" x14ac:dyDescent="0.45">
      <c r="B7" s="1195"/>
      <c r="C7" s="1196"/>
      <c r="D7" s="1197"/>
      <c r="K7" s="23"/>
      <c r="L7" s="23"/>
      <c r="M7" s="23"/>
      <c r="N7" s="23"/>
      <c r="O7" s="24"/>
      <c r="Q7" s="24"/>
      <c r="R7" s="24"/>
    </row>
    <row r="8" spans="2:22" ht="21.95" customHeight="1" x14ac:dyDescent="0.4">
      <c r="B8" s="1115" t="s">
        <v>74</v>
      </c>
      <c r="C8" s="1116"/>
      <c r="D8" s="1116"/>
      <c r="E8" s="1116"/>
      <c r="F8" s="1124" t="s">
        <v>75</v>
      </c>
      <c r="G8" s="1125"/>
      <c r="H8" s="1138">
        <f>IFERROR('A-1 On-Site Habitat Baseline'!Q259,"Check Data ⚠")</f>
        <v>2558.0790644828426</v>
      </c>
      <c r="I8" s="1139"/>
      <c r="J8" s="25"/>
      <c r="K8" s="23"/>
      <c r="L8" s="23"/>
      <c r="M8" s="23"/>
      <c r="N8" s="23"/>
      <c r="O8" s="24"/>
      <c r="P8" s="24"/>
      <c r="Q8" s="24"/>
      <c r="R8" s="24"/>
      <c r="S8" s="24"/>
    </row>
    <row r="9" spans="2:22" ht="21.95" customHeight="1" x14ac:dyDescent="0.4">
      <c r="B9" s="1118"/>
      <c r="C9" s="1119"/>
      <c r="D9" s="1119"/>
      <c r="E9" s="1119"/>
      <c r="F9" s="1104" t="s">
        <v>76</v>
      </c>
      <c r="G9" s="1105"/>
      <c r="H9" s="1140">
        <f>IFERROR('B-1 On-Site Hedge Baseline'!N258,"Check Data ⚠")</f>
        <v>561.29602999999986</v>
      </c>
      <c r="I9" s="1141"/>
      <c r="K9" s="23"/>
      <c r="L9" s="23"/>
      <c r="M9" s="23"/>
      <c r="N9" s="23"/>
    </row>
    <row r="10" spans="2:22" ht="21.95" customHeight="1" thickBot="1" x14ac:dyDescent="0.45">
      <c r="B10" s="1121"/>
      <c r="C10" s="1122"/>
      <c r="D10" s="1122"/>
      <c r="E10" s="1122"/>
      <c r="F10" s="1108" t="s">
        <v>77</v>
      </c>
      <c r="G10" s="1109"/>
      <c r="H10" s="1110">
        <f>'C-1 On-Site WaterC'' Baseline'!R258</f>
        <v>158.39706878405732</v>
      </c>
      <c r="I10" s="1111"/>
      <c r="K10" s="23"/>
      <c r="L10" s="23"/>
      <c r="M10" s="23"/>
      <c r="N10" s="23"/>
    </row>
    <row r="11" spans="2:22" ht="4.5" customHeight="1" thickBot="1" x14ac:dyDescent="0.45">
      <c r="H11" s="255"/>
      <c r="I11" s="255"/>
      <c r="K11" s="23"/>
      <c r="L11" s="23"/>
      <c r="M11" s="23"/>
      <c r="N11" s="23"/>
    </row>
    <row r="12" spans="2:22" ht="21.95" customHeight="1" x14ac:dyDescent="0.4">
      <c r="B12" s="1115" t="s">
        <v>78</v>
      </c>
      <c r="C12" s="1116"/>
      <c r="D12" s="1116"/>
      <c r="E12" s="1117"/>
      <c r="F12" s="1124" t="s">
        <v>75</v>
      </c>
      <c r="G12" s="1125"/>
      <c r="H12" s="1102">
        <f ca="1">IFERROR('A-2 On-Site Habitat Creation'!Y257+'A-3 On-Site Habitat Enhancement'!AN258+'A-1 On-Site Habitat Baseline'!U259,"Check Data ⚠")</f>
        <v>4637.3726829870448</v>
      </c>
      <c r="I12" s="1103"/>
      <c r="K12" s="23"/>
      <c r="L12" s="23"/>
      <c r="M12" s="23"/>
      <c r="N12" s="23"/>
      <c r="U12" s="1161"/>
      <c r="V12" s="1161"/>
    </row>
    <row r="13" spans="2:22" ht="21.95" customHeight="1" x14ac:dyDescent="0.4">
      <c r="B13" s="1118"/>
      <c r="C13" s="1119"/>
      <c r="D13" s="1119"/>
      <c r="E13" s="1120"/>
      <c r="F13" s="1104" t="s">
        <v>76</v>
      </c>
      <c r="G13" s="1105"/>
      <c r="H13" s="1162">
        <f ca="1">IFERROR('B-2 On-Site Hedge Creation'!W260+'B-3 On-Site Hedge Enhancement'!AH258+'B-1 On-Site Hedge Baseline'!R258,"Check Data⚠")</f>
        <v>893.48913231325366</v>
      </c>
      <c r="I13" s="1107"/>
      <c r="K13" s="23"/>
      <c r="L13" s="23"/>
      <c r="M13" s="23"/>
      <c r="N13" s="23"/>
      <c r="U13" s="1161"/>
      <c r="V13" s="1161"/>
    </row>
    <row r="14" spans="2:22" ht="21.95" customHeight="1" thickBot="1" x14ac:dyDescent="0.45">
      <c r="B14" s="1121"/>
      <c r="C14" s="1122"/>
      <c r="D14" s="1122"/>
      <c r="E14" s="1123"/>
      <c r="F14" s="1108" t="s">
        <v>77</v>
      </c>
      <c r="G14" s="1109"/>
      <c r="H14" s="1110">
        <f>IFERROR('C-2 On-Site WaterC'' Creation'!Z260 + 'C-3 On-Site WaterC'' Enhancement'!AM258+'C-1 On-Site WaterC'' Baseline'!V258,"Check Data ⚠")</f>
        <v>202.34339814722114</v>
      </c>
      <c r="I14" s="1111"/>
      <c r="K14" s="23"/>
      <c r="L14" s="23"/>
      <c r="M14" s="23"/>
      <c r="N14" s="23"/>
    </row>
    <row r="15" spans="2:22" ht="4.5" customHeight="1" thickBot="1" x14ac:dyDescent="0.45">
      <c r="B15" s="334"/>
      <c r="C15" s="334"/>
      <c r="D15" s="334"/>
      <c r="E15" s="334"/>
      <c r="F15" s="335"/>
      <c r="G15" s="335"/>
      <c r="H15" s="336"/>
      <c r="I15" s="336"/>
      <c r="K15" s="556"/>
      <c r="L15" s="23"/>
      <c r="M15" s="23"/>
      <c r="N15" s="23"/>
    </row>
    <row r="16" spans="2:22" ht="21.95" customHeight="1" x14ac:dyDescent="0.4">
      <c r="B16" s="1115" t="s">
        <v>79</v>
      </c>
      <c r="C16" s="1116"/>
      <c r="D16" s="1116"/>
      <c r="E16" s="1116"/>
      <c r="F16" s="1124" t="s">
        <v>75</v>
      </c>
      <c r="G16" s="1125"/>
      <c r="H16" s="1149">
        <f ca="1">IFERROR(H12-H8, "Error ▲")</f>
        <v>2079.2936185042022</v>
      </c>
      <c r="I16" s="1149"/>
      <c r="J16" s="662">
        <f ca="1">IF(H8=0,0,IF(AND(H8=0,H12&gt;0),1,IFERROR((H12/H8)-1,"Check Data ⚠")))</f>
        <v>0.81283399226151953</v>
      </c>
      <c r="K16" s="556" t="str">
        <f ca="1">IF(OR(AND(H8=0,H12=0),J16&gt;=Start!$F$22)," ","On-site net gain is less than target set ⚠")</f>
        <v xml:space="preserve"> </v>
      </c>
      <c r="L16" s="23"/>
      <c r="M16" s="23"/>
      <c r="N16" s="23"/>
    </row>
    <row r="17" spans="2:14" ht="21.95" customHeight="1" x14ac:dyDescent="0.4">
      <c r="B17" s="1118"/>
      <c r="C17" s="1119"/>
      <c r="D17" s="1119"/>
      <c r="E17" s="1119"/>
      <c r="F17" s="1104" t="s">
        <v>76</v>
      </c>
      <c r="G17" s="1105"/>
      <c r="H17" s="1140">
        <f t="shared" ref="H17:H18" ca="1" si="0">IFERROR(H13-H9, "Error ▲")</f>
        <v>332.1931023132538</v>
      </c>
      <c r="I17" s="1140"/>
      <c r="J17" s="663">
        <f ca="1">IF(H9=0,0,IF(AND(H9=0,H13&gt;0),1,IFERROR((H13/H9)-1,"Check Data ⚠")))</f>
        <v>0.59183226774872066</v>
      </c>
      <c r="K17" s="556" t="str">
        <f ca="1">IF(OR(AND(H9=0,H13=0),J17&gt;=Start!$F$22)," ","On-site net gain is less than target set ⚠")</f>
        <v xml:space="preserve"> </v>
      </c>
      <c r="L17" s="23"/>
      <c r="M17" s="23"/>
      <c r="N17" s="23"/>
    </row>
    <row r="18" spans="2:14" ht="21.95" customHeight="1" thickBot="1" x14ac:dyDescent="0.45">
      <c r="B18" s="1121"/>
      <c r="C18" s="1122"/>
      <c r="D18" s="1122"/>
      <c r="E18" s="1122"/>
      <c r="F18" s="1108" t="s">
        <v>77</v>
      </c>
      <c r="G18" s="1109"/>
      <c r="H18" s="1151">
        <f t="shared" si="0"/>
        <v>43.946329363163812</v>
      </c>
      <c r="I18" s="1151"/>
      <c r="J18" s="664">
        <f>IF(H10=0,0,IF(AND(H10=0,H14&gt;0),1,IFERROR((H14/H10)-1,"Check Data ⚠")))</f>
        <v>0.27744408214444816</v>
      </c>
      <c r="K18" s="556" t="str">
        <f>IF(OR(AND(H10=0,H14=0),J18&gt;=Start!$F$22)," ","On-site net gain is less than target set ⚠")</f>
        <v xml:space="preserve"> </v>
      </c>
      <c r="L18" s="23"/>
      <c r="M18" s="23"/>
      <c r="N18" s="23"/>
    </row>
    <row r="19" spans="2:14" ht="24.95" customHeight="1" thickBot="1" x14ac:dyDescent="0.45">
      <c r="H19" s="255"/>
      <c r="I19" s="255"/>
      <c r="K19" s="23"/>
      <c r="L19" s="23"/>
      <c r="M19" s="23"/>
      <c r="N19" s="23"/>
    </row>
    <row r="20" spans="2:14" ht="21.95" customHeight="1" x14ac:dyDescent="0.4">
      <c r="B20" s="1115" t="s">
        <v>80</v>
      </c>
      <c r="C20" s="1116"/>
      <c r="D20" s="1116"/>
      <c r="E20" s="1116"/>
      <c r="F20" s="1124" t="s">
        <v>75</v>
      </c>
      <c r="G20" s="1125"/>
      <c r="H20" s="1179">
        <f>IFERROR('D-1 Off-Site Habitat Baseline'!T259,"Check Data ⚠")</f>
        <v>0</v>
      </c>
      <c r="I20" s="1169"/>
      <c r="K20" s="23"/>
      <c r="L20" s="1168">
        <f>IFERROR('D-1 Off-Site Habitat Baseline'!Q259,"Check Data ⚠")</f>
        <v>0</v>
      </c>
      <c r="M20" s="1169"/>
      <c r="N20" s="23"/>
    </row>
    <row r="21" spans="2:14" ht="21.95" customHeight="1" x14ac:dyDescent="0.4">
      <c r="B21" s="1118"/>
      <c r="C21" s="1119"/>
      <c r="D21" s="1119"/>
      <c r="E21" s="1119"/>
      <c r="F21" s="1104" t="s">
        <v>76</v>
      </c>
      <c r="G21" s="1105"/>
      <c r="H21" s="1136">
        <f>IFERROR('E-1 Off-Site Hedge Baseline'!Q258,"Check Data ⚠")</f>
        <v>0</v>
      </c>
      <c r="I21" s="1137"/>
      <c r="K21" s="23"/>
      <c r="L21" s="1170">
        <f>IFERROR('E-1 Off-Site Hedge Baseline'!N258,"Check Data ⚠")</f>
        <v>0</v>
      </c>
      <c r="M21" s="1137"/>
      <c r="N21" s="23"/>
    </row>
    <row r="22" spans="2:14" ht="21.95" customHeight="1" thickBot="1" x14ac:dyDescent="0.45">
      <c r="B22" s="1121"/>
      <c r="C22" s="1122"/>
      <c r="D22" s="1122"/>
      <c r="E22" s="1122"/>
      <c r="F22" s="1108" t="s">
        <v>77</v>
      </c>
      <c r="G22" s="1109"/>
      <c r="H22" s="1165">
        <f>IFERROR('F-1 Off-Site WaterC'' Baseline'!U258,"Check Data ⚠")</f>
        <v>0</v>
      </c>
      <c r="I22" s="1166"/>
      <c r="K22" s="23"/>
      <c r="L22" s="1171">
        <f>IFERROR('F-1 Off-Site WaterC'' Baseline'!R258,"Check Data ⚠")</f>
        <v>0</v>
      </c>
      <c r="M22" s="1166"/>
      <c r="N22" s="23"/>
    </row>
    <row r="23" spans="2:14" ht="5.45" customHeight="1" thickBot="1" x14ac:dyDescent="0.45">
      <c r="H23" s="255"/>
      <c r="I23" s="255"/>
      <c r="K23" s="23"/>
      <c r="L23" s="255"/>
      <c r="M23" s="255"/>
      <c r="N23" s="23"/>
    </row>
    <row r="24" spans="2:14" ht="21.95" customHeight="1" x14ac:dyDescent="0.4">
      <c r="B24" s="1115" t="s">
        <v>81</v>
      </c>
      <c r="C24" s="1116"/>
      <c r="D24" s="1116"/>
      <c r="E24" s="1117"/>
      <c r="F24" s="1124" t="s">
        <v>75</v>
      </c>
      <c r="G24" s="1125"/>
      <c r="H24" s="1102">
        <f>IFERROR('D-1 Off-Site Habitat Baseline'!$X$259+'D-2 Off-Site Habitat Creation'!AB257+'D-3 Off-Site Habitat Enhancment'!AQ259,"Check Data ⚠")</f>
        <v>0</v>
      </c>
      <c r="I24" s="1103"/>
      <c r="K24" s="23"/>
      <c r="L24" s="1172">
        <f>IFERROR('D-1 Off-Site Habitat Baseline'!$AY$259+'D-2 Off-Site Habitat Creation'!AA257+'D-3 Off-Site Habitat Enhancment'!AP259,"Check Data ⚠")</f>
        <v>0</v>
      </c>
      <c r="M24" s="1103"/>
      <c r="N24" s="23"/>
    </row>
    <row r="25" spans="2:14" ht="21.95" customHeight="1" x14ac:dyDescent="0.4">
      <c r="B25" s="1118"/>
      <c r="C25" s="1119"/>
      <c r="D25" s="1119"/>
      <c r="E25" s="1120"/>
      <c r="F25" s="1104" t="s">
        <v>76</v>
      </c>
      <c r="G25" s="1105"/>
      <c r="H25" s="1106">
        <f>IFERROR('E-1 Off-Site Hedge Baseline'!U258+'E-2 Off-Site Hedge Creation'!Z260+'E-3 Off-Site Hedge Enhancement'!AK258,"Check Data ⚠")</f>
        <v>0</v>
      </c>
      <c r="I25" s="1107"/>
      <c r="K25" s="23"/>
      <c r="L25" s="1173">
        <f>IFERROR('E-1 Off-Site Hedge Baseline'!AY258+'E-2 Off-Site Hedge Creation'!Y260+'E-3 Off-Site Hedge Enhancement'!AJ258,"Check Data ⚠")</f>
        <v>0</v>
      </c>
      <c r="M25" s="1107"/>
      <c r="N25" s="23"/>
    </row>
    <row r="26" spans="2:14" ht="21.95" customHeight="1" thickBot="1" x14ac:dyDescent="0.45">
      <c r="B26" s="1121"/>
      <c r="C26" s="1122"/>
      <c r="D26" s="1122"/>
      <c r="E26" s="1123"/>
      <c r="F26" s="1108" t="s">
        <v>77</v>
      </c>
      <c r="G26" s="1109"/>
      <c r="H26" s="1110">
        <f>IFERROR('F-1 Off-Site WaterC'' Baseline'!Y258+'F-2 Off-Site WaterC'' Creation'!AC260+'F-3 Off-Site WaterC Enhancement'!AP258,"Check Data ⚠")</f>
        <v>0</v>
      </c>
      <c r="I26" s="1111"/>
      <c r="K26" s="23"/>
      <c r="L26" s="1167">
        <f>IFERROR('F-1 Off-Site WaterC'' Baseline'!AZ258+'F-2 Off-Site WaterC'' Creation'!AB260+'F-3 Off-Site WaterC Enhancement'!AO258,"Check Data ⚠")</f>
        <v>0</v>
      </c>
      <c r="M26" s="1111"/>
      <c r="N26" s="23"/>
    </row>
    <row r="27" spans="2:14" ht="5.0999999999999996" customHeight="1" thickBot="1" x14ac:dyDescent="0.45">
      <c r="K27" s="23"/>
      <c r="L27" s="23"/>
      <c r="M27" s="23"/>
      <c r="N27" s="23"/>
    </row>
    <row r="28" spans="2:14" ht="21.95" customHeight="1" x14ac:dyDescent="0.4">
      <c r="B28" s="1115" t="s">
        <v>82</v>
      </c>
      <c r="C28" s="1116"/>
      <c r="D28" s="1116"/>
      <c r="E28" s="1116"/>
      <c r="F28" s="1124" t="s">
        <v>75</v>
      </c>
      <c r="G28" s="1125"/>
      <c r="H28" s="1179">
        <f>IFERROR(H24-H20, "Error ▲")</f>
        <v>0</v>
      </c>
      <c r="I28" s="1179"/>
      <c r="J28" s="662">
        <f>IF(H20=0,0,IF(AND(H20=0,H24&gt;0),1,IFERROR((H24/H20)-1,"Check Data ⚠")))</f>
        <v>0</v>
      </c>
      <c r="K28" s="23"/>
      <c r="L28" s="23"/>
      <c r="M28" s="23"/>
      <c r="N28" s="23"/>
    </row>
    <row r="29" spans="2:14" ht="21.95" customHeight="1" x14ac:dyDescent="0.4">
      <c r="B29" s="1118"/>
      <c r="C29" s="1119"/>
      <c r="D29" s="1119"/>
      <c r="E29" s="1119"/>
      <c r="F29" s="1104" t="s">
        <v>76</v>
      </c>
      <c r="G29" s="1105"/>
      <c r="H29" s="1136">
        <f t="shared" ref="H29:H30" si="1">IFERROR(H25-H21, "Error ▲")</f>
        <v>0</v>
      </c>
      <c r="I29" s="1136"/>
      <c r="J29" s="663">
        <f>IF(H21=0,0,IF(AND(H21=0,H25&gt;0),1,IFERROR((H25/H21)-1,"Check Data ⚠")))</f>
        <v>0</v>
      </c>
      <c r="K29" s="23"/>
      <c r="L29" s="23"/>
      <c r="M29" s="23"/>
      <c r="N29" s="23"/>
    </row>
    <row r="30" spans="2:14" ht="21.95" customHeight="1" thickBot="1" x14ac:dyDescent="0.45">
      <c r="B30" s="1121"/>
      <c r="C30" s="1122"/>
      <c r="D30" s="1122"/>
      <c r="E30" s="1122"/>
      <c r="F30" s="1108" t="s">
        <v>77</v>
      </c>
      <c r="G30" s="1109"/>
      <c r="H30" s="1174">
        <f t="shared" si="1"/>
        <v>0</v>
      </c>
      <c r="I30" s="1174"/>
      <c r="J30" s="664">
        <f>IF(H22=0,0,IF(AND(H22=0,H26&gt;0),1,IFERROR((H26/H22)-1,"Check Data ⚠")))</f>
        <v>0</v>
      </c>
      <c r="K30" s="23"/>
      <c r="L30" s="23"/>
      <c r="M30" s="23"/>
      <c r="N30" s="23"/>
    </row>
    <row r="31" spans="2:14" ht="21.95" customHeight="1" x14ac:dyDescent="0.4">
      <c r="K31" s="23"/>
      <c r="L31" s="23"/>
      <c r="M31" s="23"/>
      <c r="N31" s="23"/>
    </row>
    <row r="32" spans="2:14" ht="7.5" hidden="1" customHeight="1" x14ac:dyDescent="0.4">
      <c r="B32" s="1115" t="s">
        <v>83</v>
      </c>
      <c r="C32" s="1116"/>
      <c r="D32" s="1116"/>
      <c r="E32" s="1116"/>
      <c r="F32" s="1124" t="s">
        <v>75</v>
      </c>
      <c r="G32" s="1125"/>
      <c r="H32" s="1179">
        <f>IF(H28&lt;0, "N/A", (L24-L20))</f>
        <v>0</v>
      </c>
      <c r="I32" s="1169"/>
      <c r="J32" s="1198" t="str">
        <f>IF(H32="N/A", "SRM only applies where unit change is positive (uplift)", " ")</f>
        <v xml:space="preserve"> </v>
      </c>
      <c r="K32" s="1199"/>
      <c r="L32" s="23"/>
      <c r="M32" s="23"/>
      <c r="N32" s="23"/>
    </row>
    <row r="33" spans="2:14" ht="22.5" hidden="1" customHeight="1" x14ac:dyDescent="0.4">
      <c r="B33" s="1118"/>
      <c r="C33" s="1119"/>
      <c r="D33" s="1119"/>
      <c r="E33" s="1119"/>
      <c r="F33" s="1104" t="s">
        <v>76</v>
      </c>
      <c r="G33" s="1105"/>
      <c r="H33" s="1136">
        <f>IF(H29&lt;0, "N/A", (L25-L21))</f>
        <v>0</v>
      </c>
      <c r="I33" s="1137"/>
      <c r="J33" s="1198" t="str">
        <f t="shared" ref="J33:J34" si="2">IF(H33="N/A", "SRM only applies where unit change is positive", " ")</f>
        <v xml:space="preserve"> </v>
      </c>
      <c r="K33" s="1199"/>
      <c r="L33" s="23"/>
      <c r="M33" s="23"/>
      <c r="N33" s="23"/>
    </row>
    <row r="34" spans="2:14" ht="15.95" hidden="1" customHeight="1" thickBot="1" x14ac:dyDescent="0.45">
      <c r="B34" s="1121"/>
      <c r="C34" s="1122"/>
      <c r="D34" s="1122"/>
      <c r="E34" s="1122"/>
      <c r="F34" s="1108" t="s">
        <v>77</v>
      </c>
      <c r="G34" s="1109"/>
      <c r="H34" s="1174">
        <f>IF(H30&lt;0, "N/A", (L26-L22))</f>
        <v>0</v>
      </c>
      <c r="I34" s="1175"/>
      <c r="J34" s="1198" t="str">
        <f t="shared" si="2"/>
        <v xml:space="preserve"> </v>
      </c>
      <c r="K34" s="1199"/>
      <c r="L34" s="23"/>
      <c r="M34" s="23"/>
      <c r="N34" s="23"/>
    </row>
    <row r="35" spans="2:14" ht="13.5" hidden="1" customHeight="1" x14ac:dyDescent="0.4">
      <c r="B35" s="661"/>
      <c r="C35" s="661"/>
      <c r="D35" s="23"/>
      <c r="E35" s="23"/>
      <c r="F35" s="661"/>
      <c r="G35" s="661"/>
      <c r="H35" s="23"/>
      <c r="I35" s="23"/>
      <c r="J35" s="661"/>
      <c r="K35" s="661"/>
      <c r="L35" s="23"/>
      <c r="M35" s="23"/>
      <c r="N35" s="23"/>
    </row>
    <row r="36" spans="2:14" ht="21.95" customHeight="1" thickBot="1" x14ac:dyDescent="0.45">
      <c r="B36" s="661"/>
      <c r="C36" s="661"/>
      <c r="D36" s="23"/>
      <c r="E36" s="23"/>
      <c r="F36" s="661"/>
      <c r="G36" s="661"/>
      <c r="H36" s="23"/>
      <c r="I36" s="23"/>
      <c r="J36" s="661"/>
      <c r="K36" s="23"/>
      <c r="L36" s="23"/>
      <c r="M36" s="23"/>
      <c r="N36" s="23"/>
    </row>
    <row r="37" spans="2:14" ht="21.95" customHeight="1" x14ac:dyDescent="0.4">
      <c r="B37" s="1115" t="s">
        <v>84</v>
      </c>
      <c r="C37" s="1116"/>
      <c r="D37" s="1116"/>
      <c r="E37" s="1117"/>
      <c r="F37" s="1124" t="s">
        <v>75</v>
      </c>
      <c r="G37" s="1125"/>
      <c r="H37" s="1102">
        <f ca="1">IFERROR((H16)+(H28),"Check Data ⚠")</f>
        <v>2079.2936185042022</v>
      </c>
      <c r="I37" s="1103"/>
      <c r="J37" s="661"/>
      <c r="K37" s="23"/>
      <c r="L37" s="23"/>
      <c r="M37" s="23"/>
      <c r="N37" s="23"/>
    </row>
    <row r="38" spans="2:14" ht="21.95" customHeight="1" x14ac:dyDescent="0.4">
      <c r="B38" s="1118"/>
      <c r="C38" s="1119"/>
      <c r="D38" s="1119"/>
      <c r="E38" s="1120"/>
      <c r="F38" s="1104" t="s">
        <v>76</v>
      </c>
      <c r="G38" s="1105"/>
      <c r="H38" s="1106">
        <f ca="1">IFERROR((H17)+(H29),"Check Data ⚠")</f>
        <v>332.1931023132538</v>
      </c>
      <c r="I38" s="1107"/>
      <c r="J38" s="661"/>
      <c r="K38" s="23"/>
      <c r="L38" s="23"/>
      <c r="M38" s="23"/>
      <c r="N38" s="23"/>
    </row>
    <row r="39" spans="2:14" ht="21.95" customHeight="1" thickBot="1" x14ac:dyDescent="0.45">
      <c r="B39" s="1121"/>
      <c r="C39" s="1122"/>
      <c r="D39" s="1122"/>
      <c r="E39" s="1123"/>
      <c r="F39" s="1108" t="s">
        <v>77</v>
      </c>
      <c r="G39" s="1109"/>
      <c r="H39" s="1110">
        <f>IFERROR((H18)+(H30),"Check Data ⚠")</f>
        <v>43.946329363163812</v>
      </c>
      <c r="I39" s="1111"/>
      <c r="J39" s="661"/>
      <c r="K39" s="23"/>
      <c r="L39" s="23"/>
      <c r="M39" s="23"/>
      <c r="N39" s="23"/>
    </row>
    <row r="40" spans="2:14" ht="5.45" customHeight="1" thickBot="1" x14ac:dyDescent="0.45">
      <c r="B40" s="661"/>
      <c r="C40" s="661"/>
      <c r="D40" s="23"/>
      <c r="E40" s="23"/>
      <c r="F40" s="661"/>
      <c r="G40" s="661"/>
      <c r="H40" s="23"/>
      <c r="I40" s="23"/>
      <c r="J40" s="661"/>
      <c r="K40" s="23"/>
      <c r="L40" s="23"/>
      <c r="M40" s="23"/>
      <c r="N40" s="23"/>
    </row>
    <row r="41" spans="2:14" ht="21.95" customHeight="1" x14ac:dyDescent="0.4">
      <c r="B41" s="1148" t="s">
        <v>85</v>
      </c>
      <c r="C41" s="1116"/>
      <c r="D41" s="1116"/>
      <c r="E41" s="1117"/>
      <c r="F41" s="1124" t="s">
        <v>75</v>
      </c>
      <c r="G41" s="1125"/>
      <c r="H41" s="1102">
        <f>IFERROR(H28-H32, "0.00")</f>
        <v>0</v>
      </c>
      <c r="I41" s="1103"/>
      <c r="J41" s="661"/>
      <c r="K41" s="23"/>
      <c r="L41" s="23"/>
      <c r="M41" s="23"/>
      <c r="N41" s="23"/>
    </row>
    <row r="42" spans="2:14" ht="21.95" customHeight="1" x14ac:dyDescent="0.4">
      <c r="B42" s="1118"/>
      <c r="C42" s="1119"/>
      <c r="D42" s="1119"/>
      <c r="E42" s="1120"/>
      <c r="F42" s="1104" t="s">
        <v>76</v>
      </c>
      <c r="G42" s="1105"/>
      <c r="H42" s="1106">
        <f>IFERROR(H29-H33, "0.00")</f>
        <v>0</v>
      </c>
      <c r="I42" s="1107"/>
      <c r="J42" s="661"/>
      <c r="K42" s="23"/>
      <c r="L42" s="23"/>
      <c r="M42" s="23"/>
      <c r="N42" s="23"/>
    </row>
    <row r="43" spans="2:14" ht="21.95" customHeight="1" thickBot="1" x14ac:dyDescent="0.45">
      <c r="B43" s="1121"/>
      <c r="C43" s="1122"/>
      <c r="D43" s="1122"/>
      <c r="E43" s="1123"/>
      <c r="F43" s="1108" t="s">
        <v>77</v>
      </c>
      <c r="G43" s="1109"/>
      <c r="H43" s="1110">
        <f>IFERROR(H30-H34, "0.00")</f>
        <v>0</v>
      </c>
      <c r="I43" s="1111"/>
      <c r="J43" s="661"/>
      <c r="K43" s="23"/>
      <c r="L43" s="23"/>
      <c r="M43" s="23"/>
      <c r="N43" s="23"/>
    </row>
    <row r="44" spans="2:14" ht="36.950000000000003" customHeight="1" thickBot="1" x14ac:dyDescent="0.45">
      <c r="B44" s="660"/>
      <c r="C44" s="660"/>
      <c r="D44" s="660"/>
      <c r="E44" s="660"/>
      <c r="F44" s="660"/>
      <c r="G44" s="660"/>
      <c r="H44" s="660"/>
      <c r="I44" s="660"/>
      <c r="J44" s="661"/>
      <c r="K44" s="23"/>
      <c r="L44" s="23"/>
      <c r="M44" s="23"/>
      <c r="N44" s="23"/>
    </row>
    <row r="45" spans="2:14" ht="35.1" customHeight="1" thickBot="1" x14ac:dyDescent="0.45">
      <c r="B45" s="1112" t="s">
        <v>86</v>
      </c>
      <c r="C45" s="1113"/>
      <c r="D45" s="1113"/>
      <c r="E45" s="1113"/>
      <c r="F45" s="1113"/>
      <c r="G45" s="1113"/>
      <c r="H45" s="1113"/>
      <c r="I45" s="1114"/>
      <c r="K45" s="23"/>
      <c r="L45" s="23"/>
      <c r="M45" s="23"/>
      <c r="N45" s="23"/>
    </row>
    <row r="46" spans="2:14" ht="9.9499999999999993" customHeight="1" thickBot="1" x14ac:dyDescent="0.45">
      <c r="B46" s="666"/>
      <c r="C46" s="666"/>
      <c r="D46" s="666"/>
      <c r="E46" s="666"/>
      <c r="F46" s="666"/>
      <c r="G46" s="666"/>
      <c r="H46" s="666"/>
      <c r="I46" s="666"/>
      <c r="K46" s="23"/>
      <c r="L46" s="23"/>
      <c r="M46" s="23"/>
      <c r="N46" s="23"/>
    </row>
    <row r="47" spans="2:14" ht="21.95" customHeight="1" x14ac:dyDescent="0.4">
      <c r="B47" s="1152" t="s">
        <v>87</v>
      </c>
      <c r="C47" s="1153"/>
      <c r="D47" s="1153"/>
      <c r="E47" s="1154"/>
      <c r="F47" s="1124" t="s">
        <v>75</v>
      </c>
      <c r="G47" s="1125"/>
      <c r="H47" s="1102">
        <f ca="1">IFERROR(IF(H32="N/A", (H12-H8)+(H28), (H12-H8)+(H32)),"Check Data ⚠")</f>
        <v>2079.2936185042022</v>
      </c>
      <c r="I47" s="1103"/>
      <c r="J47" s="1163"/>
      <c r="K47" s="1164"/>
      <c r="L47" s="23"/>
      <c r="M47" s="23"/>
      <c r="N47" s="23"/>
    </row>
    <row r="48" spans="2:14" ht="21.95" customHeight="1" x14ac:dyDescent="0.4">
      <c r="B48" s="1155"/>
      <c r="C48" s="1156"/>
      <c r="D48" s="1156"/>
      <c r="E48" s="1157"/>
      <c r="F48" s="1104" t="s">
        <v>76</v>
      </c>
      <c r="G48" s="1105"/>
      <c r="H48" s="1106">
        <f ca="1">IFERROR(IF(H33="N/A", (H13-H9)+(H29), (H13-H9)+(H33)),"Check Data ⚠")</f>
        <v>332.1931023132538</v>
      </c>
      <c r="I48" s="1107"/>
      <c r="J48" s="1163"/>
      <c r="K48" s="1164"/>
      <c r="L48" s="23"/>
      <c r="M48" s="23"/>
      <c r="N48" s="23"/>
    </row>
    <row r="49" spans="1:33" ht="21.95" customHeight="1" thickBot="1" x14ac:dyDescent="0.45">
      <c r="B49" s="1158"/>
      <c r="C49" s="1159"/>
      <c r="D49" s="1159"/>
      <c r="E49" s="1160"/>
      <c r="F49" s="1108" t="s">
        <v>77</v>
      </c>
      <c r="G49" s="1109"/>
      <c r="H49" s="1106">
        <f>IFERROR(IF(H34="N/A", (H14-H10)+(H30), (H14-H10)+(H34)),"Check Data ⚠")</f>
        <v>43.946329363163812</v>
      </c>
      <c r="I49" s="1107"/>
      <c r="J49" s="1163"/>
      <c r="K49" s="1164"/>
      <c r="L49" s="555"/>
      <c r="M49" s="23"/>
      <c r="N49" s="23"/>
    </row>
    <row r="50" spans="1:33" ht="9.9499999999999993" customHeight="1" thickBot="1" x14ac:dyDescent="0.45">
      <c r="H50" s="665"/>
      <c r="I50" s="665"/>
      <c r="K50" s="23"/>
      <c r="L50" s="23"/>
      <c r="M50" s="23"/>
      <c r="N50" s="23"/>
    </row>
    <row r="51" spans="1:33" ht="21.95" customHeight="1" x14ac:dyDescent="0.4">
      <c r="B51" s="1115" t="s">
        <v>88</v>
      </c>
      <c r="C51" s="1116"/>
      <c r="D51" s="1116"/>
      <c r="E51" s="1117"/>
      <c r="F51" s="1124" t="s">
        <v>75</v>
      </c>
      <c r="G51" s="1125"/>
      <c r="H51" s="1182">
        <f ca="1">IF(H47=0,0,IF(AND(H8=0,H20=0,H47&gt;0),1,IFERROR((H47/H8),"Check Data ⚠")))</f>
        <v>0.81283399226151964</v>
      </c>
      <c r="I51" s="1183"/>
      <c r="J51" s="1200" t="str">
        <f ca="1">IF(OR(AND(H8=0,H12=0,H20=0,H24=0),H51&gt;=Start!$F$22)," ","Total net gain achieved is less than target set ⚠")</f>
        <v xml:space="preserve"> </v>
      </c>
      <c r="K51" s="1201"/>
      <c r="L51" s="555"/>
      <c r="M51" s="555"/>
      <c r="N51" s="23"/>
    </row>
    <row r="52" spans="1:33" ht="21.95" customHeight="1" x14ac:dyDescent="0.4">
      <c r="A52" s="26"/>
      <c r="B52" s="1118"/>
      <c r="C52" s="1119"/>
      <c r="D52" s="1119"/>
      <c r="E52" s="1120"/>
      <c r="F52" s="1104" t="s">
        <v>76</v>
      </c>
      <c r="G52" s="1105"/>
      <c r="H52" s="1184">
        <f ca="1">IF(H48=0,0,IF(AND(H9=0,H21=0,H48&gt;0),1,IFERROR((H48/H9),"Check Data ⚠")))</f>
        <v>0.59183226774872055</v>
      </c>
      <c r="I52" s="1185"/>
      <c r="J52" s="1200" t="str">
        <f ca="1">IF(OR(AND(H9=0,H13=0,H21=0,H25=0),H52&gt;=Start!$F$22)," ","Total net gain achieved is less than target set ⚠")</f>
        <v xml:space="preserve"> </v>
      </c>
      <c r="K52" s="1201"/>
      <c r="L52" s="23"/>
      <c r="M52" s="23"/>
      <c r="N52" s="23"/>
    </row>
    <row r="53" spans="1:33" ht="21.95" customHeight="1" thickBot="1" x14ac:dyDescent="0.45">
      <c r="A53" s="26"/>
      <c r="B53" s="1121"/>
      <c r="C53" s="1122"/>
      <c r="D53" s="1122"/>
      <c r="E53" s="1123"/>
      <c r="F53" s="1108" t="s">
        <v>77</v>
      </c>
      <c r="G53" s="1186"/>
      <c r="H53" s="1187">
        <f>IF(H49=0,0,IF(AND(H10=0,H22=0,H49&gt;0),1,IFERROR((H49/H10),"Check Data ⚠")))</f>
        <v>0.27744408214444821</v>
      </c>
      <c r="I53" s="1188"/>
      <c r="J53" s="1200" t="str">
        <f>IF(OR(AND(H10=0,H14=0,H22=0,H26=0),H53&gt;=Start!$F$22)," ","Total net gain achieved is less than target set ⚠")</f>
        <v xml:space="preserve"> </v>
      </c>
      <c r="K53" s="1201"/>
      <c r="L53" s="23"/>
      <c r="M53" s="23"/>
      <c r="N53" s="23"/>
    </row>
    <row r="54" spans="1:33" ht="9.9499999999999993" customHeight="1" thickBot="1" x14ac:dyDescent="0.45">
      <c r="B54" s="1203"/>
      <c r="C54" s="1203"/>
      <c r="D54" s="1203"/>
      <c r="F54" s="27"/>
      <c r="G54" s="27"/>
      <c r="H54" s="27"/>
      <c r="I54" s="27"/>
      <c r="J54" s="27"/>
      <c r="K54" s="27"/>
      <c r="L54" s="27"/>
      <c r="M54" s="27"/>
    </row>
    <row r="55" spans="1:33" s="28" customFormat="1" ht="38.25" customHeight="1" thickBot="1" x14ac:dyDescent="0.25">
      <c r="B55" s="1142" t="s">
        <v>89</v>
      </c>
      <c r="C55" s="1143"/>
      <c r="D55" s="1143"/>
      <c r="E55" s="1144"/>
      <c r="F55" s="1145" t="str" cm="1">
        <f t="array" aca="1" ref="F55" ca="1">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6"/>
      <c r="H55" s="1146"/>
      <c r="I55" s="1147"/>
      <c r="J55" s="29"/>
      <c r="K55" s="29"/>
      <c r="L55" s="29"/>
      <c r="M55" s="29"/>
      <c r="N55" s="22"/>
      <c r="O55" s="22"/>
      <c r="P55" s="22"/>
      <c r="Q55" s="22"/>
      <c r="X55" s="22"/>
      <c r="Y55" s="22"/>
      <c r="Z55" s="22"/>
      <c r="AA55" s="22"/>
      <c r="AB55" s="22"/>
      <c r="AC55" s="22"/>
      <c r="AD55" s="22"/>
      <c r="AE55" s="22"/>
      <c r="AF55" s="22"/>
      <c r="AG55" s="22"/>
    </row>
    <row r="56" spans="1:33" s="28" customFormat="1" ht="12" hidden="1" customHeight="1" x14ac:dyDescent="0.2">
      <c r="B56" s="1181" t="str">
        <f>IF(Start!F27="Yes", "This metric contains deviations from the statutory metric - these deviations are only acceptable in extremely rare circumstances and must be agreed with the consenting body ⚠", "")</f>
        <v/>
      </c>
      <c r="C56" s="1181"/>
      <c r="D56" s="1181"/>
      <c r="E56" s="1181"/>
      <c r="F56" s="1181"/>
      <c r="G56" s="1181"/>
      <c r="H56" s="1181"/>
      <c r="I56" s="1181"/>
      <c r="J56" s="29"/>
      <c r="K56" s="29"/>
      <c r="L56" s="29"/>
      <c r="M56" s="29"/>
      <c r="N56" s="22"/>
      <c r="O56" s="22"/>
      <c r="P56" s="22"/>
      <c r="Q56" s="22"/>
      <c r="X56" s="22"/>
      <c r="Y56" s="22"/>
      <c r="Z56" s="22"/>
      <c r="AA56" s="22"/>
      <c r="AB56" s="22"/>
      <c r="AC56" s="22"/>
      <c r="AD56" s="22"/>
      <c r="AE56" s="22"/>
      <c r="AF56" s="22"/>
      <c r="AG56" s="22"/>
    </row>
    <row r="57" spans="1:33" ht="15.75" x14ac:dyDescent="0.2">
      <c r="B57" s="1180" t="str">
        <f>IF(Start!I23="You must specify if irreplaceable habitats are on-site at baseline ▲", "You must specify if irreplaceable habitats are on-site at baseline ▲", "")</f>
        <v>You must specify if irreplaceable habitats are on-site at baseline ▲</v>
      </c>
      <c r="C57" s="1180"/>
      <c r="D57" s="1180"/>
      <c r="E57" s="1180"/>
      <c r="F57" s="1180"/>
      <c r="G57" s="1180"/>
      <c r="H57" s="1180"/>
      <c r="I57" s="1180"/>
      <c r="J57" s="29"/>
      <c r="K57" s="29"/>
      <c r="L57" s="29"/>
      <c r="M57" s="29"/>
      <c r="X57" s="28"/>
      <c r="Y57" s="28"/>
      <c r="Z57" s="28"/>
      <c r="AA57" s="28"/>
      <c r="AB57" s="28"/>
    </row>
    <row r="58" spans="1:33" ht="15.75" x14ac:dyDescent="0.2">
      <c r="B58" s="1180" t="str" cm="1">
        <f t="array" ref="B58">IF(OR('Irreplaceable Habitats'!AA10:AA31="Irreplaceable habitat lost, bespoke compensation must be agreed with concenting body ▲"), "Unacceptable loss of irreplaceable habitat recorded - no bespoke compensation for lossess has been agreed  ▲", "")</f>
        <v/>
      </c>
      <c r="C58" s="1180"/>
      <c r="D58" s="1180"/>
      <c r="E58" s="1180"/>
      <c r="F58" s="1180"/>
      <c r="G58" s="1180"/>
      <c r="H58" s="1180"/>
      <c r="I58" s="1180"/>
      <c r="J58" s="29"/>
      <c r="K58" s="29"/>
      <c r="L58" s="29"/>
      <c r="M58" s="29"/>
      <c r="X58" s="28"/>
      <c r="Y58" s="28"/>
      <c r="Z58" s="28"/>
      <c r="AA58" s="28"/>
      <c r="AB58" s="28"/>
    </row>
    <row r="59" spans="1:33" ht="17.100000000000001" customHeight="1" thickBot="1" x14ac:dyDescent="0.25">
      <c r="B59" s="29"/>
      <c r="C59" s="29"/>
      <c r="D59" s="29"/>
      <c r="E59" s="29"/>
      <c r="F59" s="29"/>
      <c r="G59" s="29"/>
      <c r="H59" s="29"/>
      <c r="I59" s="29"/>
      <c r="J59" s="29"/>
      <c r="K59" s="29"/>
      <c r="L59" s="29"/>
      <c r="M59" s="29"/>
      <c r="X59" s="28"/>
      <c r="Y59" s="28"/>
      <c r="Z59" s="28"/>
      <c r="AA59" s="28"/>
      <c r="AB59" s="28"/>
    </row>
    <row r="60" spans="1:33" ht="23.45" customHeight="1" thickBot="1" x14ac:dyDescent="0.25">
      <c r="B60" s="1176" t="s">
        <v>90</v>
      </c>
      <c r="C60" s="1177"/>
      <c r="D60" s="569" t="s">
        <v>91</v>
      </c>
      <c r="E60" s="570" t="s">
        <v>92</v>
      </c>
      <c r="F60" s="1178" t="s">
        <v>93</v>
      </c>
      <c r="G60" s="1178"/>
      <c r="H60" s="1178" t="s">
        <v>94</v>
      </c>
      <c r="I60" s="1202"/>
      <c r="J60" s="568"/>
    </row>
    <row r="61" spans="1:33" ht="18" x14ac:dyDescent="0.2">
      <c r="B61" s="1124" t="s">
        <v>75</v>
      </c>
      <c r="C61" s="1125"/>
      <c r="D61" s="712">
        <f>Start!F22</f>
        <v>0.1</v>
      </c>
      <c r="E61" s="708">
        <f>H8</f>
        <v>2558.0790644828426</v>
      </c>
      <c r="F61" s="1179">
        <f>IFERROR(E61*(1+D61), "Error ▲")</f>
        <v>2813.8869709311271</v>
      </c>
      <c r="G61" s="1179"/>
      <c r="H61" s="1179">
        <f ca="1">IFERROR(IF(H32="N/A",(IF(F61-(H12+(H28))&lt;0,0,F61-(H12+(H28)))),(IF(F61-(H12+H32)&lt;0,0,F61-(H12+H32)))), "Error ▲")</f>
        <v>0</v>
      </c>
      <c r="I61" s="1169"/>
      <c r="J61" s="1126" t="str">
        <f ca="1">IF(H61=0, "Unit requirement met or surpassed  ✓", " ")</f>
        <v>Unit requirement met or surpassed  ✓</v>
      </c>
      <c r="K61" s="1126"/>
    </row>
    <row r="62" spans="1:33" ht="18" x14ac:dyDescent="0.2">
      <c r="B62" s="1104" t="s">
        <v>76</v>
      </c>
      <c r="C62" s="1105"/>
      <c r="D62" s="711">
        <f>Start!F22</f>
        <v>0.1</v>
      </c>
      <c r="E62" s="709">
        <f t="shared" ref="E62:E63" si="3">H9</f>
        <v>561.29602999999986</v>
      </c>
      <c r="F62" s="1136">
        <f t="shared" ref="F62:F63" si="4">IFERROR(E62*(1+D62), "Error ▲")</f>
        <v>617.42563299999995</v>
      </c>
      <c r="G62" s="1136"/>
      <c r="H62" s="1136">
        <f t="shared" ref="H62:H63" ca="1" si="5">IFERROR(IF(H33="N/A",(IF(F62-(H13+(H29))&lt;0,0,F62-(H13+(H29)))),(IF(F62-(H13+H33)&lt;0,0,F62-(H13+H33)))), "Error ▲")</f>
        <v>0</v>
      </c>
      <c r="I62" s="1137"/>
      <c r="J62" s="1126" t="str">
        <f ca="1">IF(H62=0, "Unit requirement met or surpassed  ✓", " ")</f>
        <v>Unit requirement met or surpassed  ✓</v>
      </c>
      <c r="K62" s="1126"/>
    </row>
    <row r="63" spans="1:33" ht="18.75" thickBot="1" x14ac:dyDescent="0.25">
      <c r="B63" s="1108" t="s">
        <v>77</v>
      </c>
      <c r="C63" s="1109"/>
      <c r="D63" s="713">
        <f>Start!F22</f>
        <v>0.1</v>
      </c>
      <c r="E63" s="710">
        <f t="shared" si="3"/>
        <v>158.39706878405732</v>
      </c>
      <c r="F63" s="1174">
        <f t="shared" si="4"/>
        <v>174.23677566246306</v>
      </c>
      <c r="G63" s="1174"/>
      <c r="H63" s="1174">
        <f t="shared" si="5"/>
        <v>0</v>
      </c>
      <c r="I63" s="1175"/>
      <c r="J63" s="1126" t="str">
        <f>IF(H63=0, "Unit requirement met or surpassed  ✓", " ")</f>
        <v>Unit requirement met or surpassed  ✓</v>
      </c>
      <c r="K63" s="1126"/>
    </row>
    <row r="64" spans="1:33" x14ac:dyDescent="0.2"/>
    <row r="65"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94" x14ac:dyDescent="0.2"/>
    <row r="97" x14ac:dyDescent="0.2"/>
    <row r="98" x14ac:dyDescent="0.2"/>
    <row r="99" x14ac:dyDescent="0.2"/>
    <row r="100" x14ac:dyDescent="0.2"/>
    <row r="107" x14ac:dyDescent="0.2"/>
    <row r="110" ht="21.6" hidden="1" customHeight="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ht="64.900000000000006" hidden="1" customHeight="1" x14ac:dyDescent="0.2"/>
    <row r="124" x14ac:dyDescent="0.2"/>
    <row r="125" x14ac:dyDescent="0.2"/>
    <row r="126" ht="29.45" hidden="1" customHeight="1" x14ac:dyDescent="0.2"/>
    <row r="127" x14ac:dyDescent="0.2"/>
    <row r="128" x14ac:dyDescent="0.2"/>
    <row r="129" x14ac:dyDescent="0.2"/>
  </sheetData>
  <sheetProtection algorithmName="SHA-512" hashValue="0G+KvA9/RvBzJIG8uAU9pkuUdO0GcsuZySlhgKf+G+BVLjrfTQ7LWihfRnWomQLzeET96bKaAQ+uexI9kaHKKA==" saltValue="X0GjsapSR3Aut/Atbh4v8w=="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B56:I56">
    <cfRule type="containsText" dxfId="671" priority="69" operator="containsText" text="⚠">
      <formula>NOT(ISERROR(SEARCH("⚠",B56)))</formula>
    </cfRule>
  </conditionalFormatting>
  <conditionalFormatting sqref="B57:I58">
    <cfRule type="containsText" dxfId="670" priority="70" operator="containsText" text="▲">
      <formula>NOT(ISERROR(SEARCH("▲",B57)))</formula>
    </cfRule>
  </conditionalFormatting>
  <conditionalFormatting sqref="D35:D36 H35:H36">
    <cfRule type="cellIs" dxfId="669" priority="16" operator="greaterThan">
      <formula>0</formula>
    </cfRule>
  </conditionalFormatting>
  <conditionalFormatting sqref="D40 H40">
    <cfRule type="cellIs" dxfId="668" priority="11" operator="greaterThan">
      <formula>0</formula>
    </cfRule>
  </conditionalFormatting>
  <conditionalFormatting sqref="D61:I63">
    <cfRule type="containsText" dxfId="667" priority="74" operator="containsText" text="Error">
      <formula>NOT(ISERROR(SEARCH("Error",D61)))</formula>
    </cfRule>
    <cfRule type="containsText" dxfId="666" priority="73" operator="containsText" text="Check">
      <formula>NOT(ISERROR(SEARCH("Check",D61)))</formula>
    </cfRule>
  </conditionalFormatting>
  <conditionalFormatting sqref="F2:I5">
    <cfRule type="containsText" dxfId="665" priority="2" operator="containsText" text="▲">
      <formula>NOT(ISERROR(SEARCH("▲",F2)))</formula>
    </cfRule>
    <cfRule type="containsText" dxfId="664" priority="68" operator="containsText" text="⚠">
      <formula>NOT(ISERROR(SEARCH("⚠",F2)))</formula>
    </cfRule>
  </conditionalFormatting>
  <conditionalFormatting sqref="F55:I55">
    <cfRule type="containsText" dxfId="663" priority="105" operator="containsText" text="No">
      <formula>NOT(ISERROR(SEARCH("No",F55)))</formula>
    </cfRule>
    <cfRule type="containsText" dxfId="662" priority="106" operator="containsText" text="Yes">
      <formula>NOT(ISERROR(SEARCH("Yes",F55)))</formula>
    </cfRule>
  </conditionalFormatting>
  <conditionalFormatting sqref="H8:I26">
    <cfRule type="containsText" dxfId="661" priority="42" operator="containsText" text="Error">
      <formula>NOT(ISERROR(SEARCH("Error",H8)))</formula>
    </cfRule>
    <cfRule type="containsText" dxfId="660" priority="41" operator="containsText" text="Check">
      <formula>NOT(ISERROR(SEARCH("Check",H8)))</formula>
    </cfRule>
  </conditionalFormatting>
  <conditionalFormatting sqref="H20:I22">
    <cfRule type="cellIs" dxfId="659" priority="1" operator="lessThan">
      <formula>0</formula>
    </cfRule>
  </conditionalFormatting>
  <conditionalFormatting sqref="H28:I30">
    <cfRule type="containsText" dxfId="658" priority="79" operator="containsText" text="Check">
      <formula>NOT(ISERROR(SEARCH("Check",H28)))</formula>
    </cfRule>
    <cfRule type="containsText" dxfId="657" priority="80" operator="containsText" text="Error">
      <formula>NOT(ISERROR(SEARCH("Error",H28)))</formula>
    </cfRule>
  </conditionalFormatting>
  <conditionalFormatting sqref="H32:I34">
    <cfRule type="containsText" dxfId="656" priority="78" operator="containsText" text="Error">
      <formula>NOT(ISERROR(SEARCH("Error",H32)))</formula>
    </cfRule>
    <cfRule type="containsText" dxfId="655" priority="77" operator="containsText" text="Check">
      <formula>NOT(ISERROR(SEARCH("Check",H32)))</formula>
    </cfRule>
  </conditionalFormatting>
  <conditionalFormatting sqref="H37:I37">
    <cfRule type="cellIs" dxfId="654" priority="19" operator="equal">
      <formula>"Error"</formula>
    </cfRule>
  </conditionalFormatting>
  <conditionalFormatting sqref="H37:I39">
    <cfRule type="containsText" dxfId="653" priority="17" operator="containsText" text="Check">
      <formula>NOT(ISERROR(SEARCH("Check",H37)))</formula>
    </cfRule>
    <cfRule type="containsText" dxfId="652" priority="18" operator="containsText" text="Error">
      <formula>NOT(ISERROR(SEARCH("Error",H37)))</formula>
    </cfRule>
  </conditionalFormatting>
  <conditionalFormatting sqref="H41:I41">
    <cfRule type="cellIs" dxfId="651" priority="10" operator="equal">
      <formula>"Error"</formula>
    </cfRule>
  </conditionalFormatting>
  <conditionalFormatting sqref="H41:I43">
    <cfRule type="containsText" dxfId="650" priority="8" operator="containsText" text="Check">
      <formula>NOT(ISERROR(SEARCH("Check",H41)))</formula>
    </cfRule>
    <cfRule type="containsText" dxfId="649" priority="9" operator="containsText" text="Error">
      <formula>NOT(ISERROR(SEARCH("Error",H41)))</formula>
    </cfRule>
  </conditionalFormatting>
  <conditionalFormatting sqref="H47:I47">
    <cfRule type="cellIs" dxfId="648" priority="132" operator="equal">
      <formula>"Error"</formula>
    </cfRule>
  </conditionalFormatting>
  <conditionalFormatting sqref="H47:I53">
    <cfRule type="containsText" dxfId="647" priority="114" operator="containsText" text="Check">
      <formula>NOT(ISERROR(SEARCH("Check",H47)))</formula>
    </cfRule>
    <cfRule type="containsText" dxfId="646" priority="131" operator="containsText" text="Error">
      <formula>NOT(ISERROR(SEARCH("Error",H47)))</formula>
    </cfRule>
  </conditionalFormatting>
  <conditionalFormatting sqref="H51:I51">
    <cfRule type="expression" dxfId="644" priority="113">
      <formula>AND(OR($H$8&gt;0,$H$20&gt;0),$H$51&lt;0.1)</formula>
    </cfRule>
  </conditionalFormatting>
  <conditionalFormatting sqref="H51:I53">
    <cfRule type="cellIs" dxfId="642" priority="107" operator="lessThan">
      <formula>0</formula>
    </cfRule>
  </conditionalFormatting>
  <conditionalFormatting sqref="H52:I52">
    <cfRule type="expression" dxfId="640" priority="117">
      <formula>AND(OR($H$9&gt;0,$H$21&gt;0),$H$52&lt;0.1)</formula>
    </cfRule>
  </conditionalFormatting>
  <conditionalFormatting sqref="H52:I53">
    <cfRule type="cellIs" dxfId="639" priority="119" operator="equal">
      <formula>"Error"</formula>
    </cfRule>
  </conditionalFormatting>
  <conditionalFormatting sqref="H53:I53">
    <cfRule type="expression" dxfId="638" priority="115">
      <formula>AND(OR($H$10&gt;0,$H$22&gt;0),$H$53&lt;0.1)</formula>
    </cfRule>
  </conditionalFormatting>
  <conditionalFormatting sqref="J16:J18">
    <cfRule type="containsText" dxfId="636" priority="50" operator="containsText" text="Error">
      <formula>NOT(ISERROR(SEARCH("Error",J16)))</formula>
    </cfRule>
    <cfRule type="expression" dxfId="635" priority="48">
      <formula>AND($H$8&gt;0,$H$16&lt;0.1)</formula>
    </cfRule>
    <cfRule type="containsText" dxfId="634" priority="47" operator="containsText" text="Check">
      <formula>NOT(ISERROR(SEARCH("Check",J16)))</formula>
    </cfRule>
    <cfRule type="cellIs" dxfId="633" priority="45" operator="lessThan">
      <formula>0</formula>
    </cfRule>
    <cfRule type="expression" dxfId="632" priority="49">
      <formula>AND($H$8&gt;0,$H$16&gt;=0.1)</formula>
    </cfRule>
  </conditionalFormatting>
  <conditionalFormatting sqref="J28:J30">
    <cfRule type="containsText" dxfId="631" priority="26" operator="containsText" text="Error">
      <formula>NOT(ISERROR(SEARCH("Error",J28)))</formula>
    </cfRule>
    <cfRule type="containsText" dxfId="630" priority="23" operator="containsText" text="Check">
      <formula>NOT(ISERROR(SEARCH("Check",J28)))</formula>
    </cfRule>
    <cfRule type="cellIs" dxfId="629" priority="21" operator="lessThan">
      <formula>0</formula>
    </cfRule>
  </conditionalFormatting>
  <conditionalFormatting sqref="J51:J53">
    <cfRule type="containsText" dxfId="628" priority="83" operator="containsText" text="⚠">
      <formula>NOT(ISERROR(SEARCH("⚠",J51)))</formula>
    </cfRule>
  </conditionalFormatting>
  <conditionalFormatting sqref="J61:K63">
    <cfRule type="containsText" dxfId="627" priority="72" operator="containsText" text="✓">
      <formula>NOT(ISERROR(SEARCH("✓",J61)))</formula>
    </cfRule>
    <cfRule type="containsBlanks" dxfId="626" priority="71">
      <formula>LEN(TRIM(J61))=0</formula>
    </cfRule>
  </conditionalFormatting>
  <conditionalFormatting sqref="K15:K18">
    <cfRule type="containsText" dxfId="625" priority="63" operator="containsText" text="⚠">
      <formula>NOT(ISERROR(SEARCH("⚠",K15)))</formula>
    </cfRule>
  </conditionalFormatting>
  <conditionalFormatting sqref="K58:L59">
    <cfRule type="cellIs" dxfId="614" priority="139" operator="lessThan">
      <formula>0</formula>
    </cfRule>
    <cfRule type="cellIs" dxfId="613" priority="140" operator="greaterThan">
      <formula>0</formula>
    </cfRule>
  </conditionalFormatting>
  <conditionalFormatting sqref="L8:L9">
    <cfRule type="cellIs" dxfId="612" priority="129" operator="equal">
      <formula>"Error"</formula>
    </cfRule>
  </conditionalFormatting>
  <conditionalFormatting sqref="L11">
    <cfRule type="cellIs" dxfId="611" priority="128" operator="equal">
      <formula>"Error"</formula>
    </cfRule>
  </conditionalFormatting>
  <conditionalFormatting sqref="L13:L18">
    <cfRule type="cellIs" dxfId="610" priority="126" operator="equal">
      <formula>"Error"</formula>
    </cfRule>
  </conditionalFormatting>
  <conditionalFormatting sqref="L27:L44">
    <cfRule type="cellIs" dxfId="609" priority="15" operator="greaterThan">
      <formula>0</formula>
    </cfRule>
  </conditionalFormatting>
  <conditionalFormatting sqref="L20:M26">
    <cfRule type="containsText" dxfId="608" priority="75" operator="containsText" text="Check">
      <formula>NOT(ISERROR(SEARCH("Check",L20)))</formula>
    </cfRule>
    <cfRule type="containsText" dxfId="607" priority="76" operator="containsText" text="Error">
      <formula>NOT(ISERROR(SEARCH("Error",L20)))</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8"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420" operator="lessThan" id="{AB7A157E-874D-4F69-A2CC-0F1D6336991B}">
            <xm:f>Start!$F$22</xm:f>
            <x14:dxf>
              <font>
                <color rgb="FF383745"/>
              </font>
              <fill>
                <patternFill>
                  <bgColor rgb="FFFFC000"/>
                </patternFill>
              </fill>
            </x14:dxf>
          </x14:cfRule>
          <xm:sqref>H51:I53 J16:J18</xm:sqref>
        </x14:conditionalFormatting>
        <x14:conditionalFormatting xmlns:xm="http://schemas.microsoft.com/office/excel/2006/main">
          <x14:cfRule type="cellIs" priority="66"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16"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24E51F1E-FA9B-4668-88E2-BBF17FE60338}">
            <xm:f>'G-1 All Habitats'!$X$3</xm:f>
            <x14:dxf>
              <font>
                <color theme="0"/>
              </font>
              <fill>
                <patternFill>
                  <bgColor rgb="FFC00000"/>
                </patternFill>
              </fill>
            </x14:dxf>
          </x14:cfRule>
          <xm:sqref>K25:K31 K50 K45:K46</xm:sqref>
        </x14:conditionalFormatting>
        <x14:conditionalFormatting xmlns:xm="http://schemas.microsoft.com/office/excel/2006/main">
          <x14:cfRule type="cellIs" priority="121" operator="equal" id="{6EEE2BFC-026C-4DBA-865F-850D56F4BDD9}">
            <xm:f>'G-1 All Habitats'!$X$6</xm:f>
            <x14:dxf>
              <fill>
                <patternFill>
                  <bgColor theme="7" tint="0.79998168889431442"/>
                </patternFill>
              </fill>
            </x14:dxf>
          </x14:cfRule>
          <x14:cfRule type="cellIs" priority="122" operator="equal" id="{B56D98BB-0AE5-4874-9D4E-3C4485D04071}">
            <xm:f>'G-1 All Habitats'!$X$7</xm:f>
            <x14:dxf>
              <fill>
                <patternFill>
                  <bgColor theme="4" tint="0.59996337778862885"/>
                </patternFill>
              </fill>
            </x14:dxf>
          </x14:cfRule>
          <x14:cfRule type="cellIs" priority="123" operator="equal" id="{E7D480FC-A0C4-44B1-A2E7-E2F87CB95EC5}">
            <xm:f>'G-1 All Habitats'!$X$5</xm:f>
            <x14:dxf>
              <fill>
                <patternFill>
                  <bgColor theme="7" tint="0.39994506668294322"/>
                </patternFill>
              </fill>
            </x14:dxf>
          </x14:cfRule>
          <x14:cfRule type="cellIs" priority="124" operator="equal" id="{90383316-2A46-4A3A-98B3-02D63A8114CA}">
            <xm:f>'G-1 All Habitats'!$X$4</xm:f>
            <x14:dxf>
              <fill>
                <patternFill>
                  <bgColor theme="5"/>
                </patternFill>
              </fill>
            </x14:dxf>
          </x14:cfRule>
          <xm:sqref>K25:K31 K50</xm:sqref>
        </x14:conditionalFormatting>
        <x14:conditionalFormatting xmlns:xm="http://schemas.microsoft.com/office/excel/2006/main">
          <x14:cfRule type="cellIs" priority="7"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6" operator="equal" id="{1148AB86-4D63-46F8-88F7-FE511952A740}">
            <xm:f>'G-1 All Habitats'!$X$4</xm:f>
            <x14:dxf>
              <fill>
                <patternFill>
                  <bgColor theme="5"/>
                </patternFill>
              </fill>
            </x14:dxf>
          </x14:cfRule>
          <x14:cfRule type="cellIs" priority="5" operator="equal" id="{94843BC6-55B5-4209-A28E-6CCB4242554C}">
            <xm:f>'G-1 All Habitats'!$X$5</xm:f>
            <x14:dxf>
              <fill>
                <patternFill>
                  <bgColor theme="7" tint="0.39994506668294322"/>
                </patternFill>
              </fill>
            </x14:dxf>
          </x14:cfRule>
          <x14:cfRule type="cellIs" priority="4" operator="equal" id="{CAC5EDAA-4B5F-4546-821F-1991FFC39B23}">
            <xm:f>'G-1 All Habitats'!$X$7</xm:f>
            <x14:dxf>
              <fill>
                <patternFill>
                  <bgColor theme="4" tint="0.59996337778862885"/>
                </patternFill>
              </fill>
            </x14:dxf>
          </x14:cfRule>
          <x14:cfRule type="cellIs" priority="3" operator="equal" id="{34391782-A42B-48CB-9ACB-2E92103FAD17}">
            <xm:f>'G-1 All Habitats'!$X$6</xm:f>
            <x14:dxf>
              <fill>
                <patternFill>
                  <bgColor theme="7" tint="0.79998168889431442"/>
                </patternFill>
              </fill>
            </x14:dxf>
          </x14:cfRule>
          <xm:sqref>K36:K46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topLeftCell="A83" zoomScale="80" zoomScaleNormal="80" workbookViewId="0">
      <selection activeCell="F25" sqref="F25:G25"/>
    </sheetView>
  </sheetViews>
  <sheetFormatPr defaultColWidth="8.85546875" defaultRowHeight="14.25" x14ac:dyDescent="0.2"/>
  <cols>
    <col min="1" max="1" width="4.28515625" style="618" customWidth="1"/>
    <col min="2" max="2" width="72.85546875" style="618" customWidth="1"/>
    <col min="3" max="3" width="13.855468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140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140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85546875" style="618"/>
    <col min="31" max="31" width="12.140625" style="618" customWidth="1"/>
    <col min="32" max="16384" width="8.85546875" style="618"/>
  </cols>
  <sheetData>
    <row r="1" spans="2:19" ht="15.75" customHeight="1" thickBot="1" x14ac:dyDescent="0.25"/>
    <row r="2" spans="2:19" ht="22.15" customHeight="1" thickBot="1" x14ac:dyDescent="0.25">
      <c r="B2" s="1250" t="str">
        <f>IF(Start!$F$12="","",Start!$F$12)</f>
        <v>Botley West Solar Farm</v>
      </c>
      <c r="C2" s="1251"/>
      <c r="D2" s="1252"/>
    </row>
    <row r="3" spans="2:19" ht="19.899999999999999" customHeight="1" x14ac:dyDescent="0.2">
      <c r="B3" s="1257" t="str">
        <f ca="1">MID(CELL("filename",A1),FIND("]",CELL("filename",A1))+1,256)</f>
        <v>Detailed Results</v>
      </c>
      <c r="C3" s="1258"/>
      <c r="D3" s="1259"/>
    </row>
    <row r="4" spans="2:19" ht="21.6" customHeight="1" thickBot="1" x14ac:dyDescent="0.25">
      <c r="B4" s="1260"/>
      <c r="C4" s="1261"/>
      <c r="D4" s="1262"/>
    </row>
    <row r="5" spans="2:19" ht="15.75" customHeight="1" x14ac:dyDescent="0.2"/>
    <row r="6" spans="2:19" ht="25.5" customHeight="1" thickBot="1" x14ac:dyDescent="0.25"/>
    <row r="7" spans="2:19" ht="18.75" customHeight="1" x14ac:dyDescent="0.2">
      <c r="B7" s="1263" t="s">
        <v>95</v>
      </c>
      <c r="C7" s="1264"/>
    </row>
    <row r="8" spans="2:19" ht="20.25" customHeight="1" thickBot="1" x14ac:dyDescent="0.25">
      <c r="B8" s="1265"/>
      <c r="C8" s="1266"/>
    </row>
    <row r="9" spans="2:19" ht="15.75" customHeight="1" thickBot="1" x14ac:dyDescent="0.45">
      <c r="B9" s="619"/>
      <c r="C9" s="619"/>
      <c r="O9" s="620"/>
      <c r="Q9" s="620"/>
      <c r="R9" s="620"/>
    </row>
    <row r="10" spans="2:19" ht="18" customHeight="1" x14ac:dyDescent="0.25">
      <c r="B10" s="1267" t="s">
        <v>96</v>
      </c>
      <c r="C10" s="1268"/>
      <c r="D10" s="1268"/>
      <c r="E10" s="1269"/>
      <c r="F10" s="1278" t="s">
        <v>75</v>
      </c>
      <c r="G10" s="1279"/>
      <c r="H10" s="1276">
        <f ca="1">IFERROR('Headline Results'!$H$47:$I$47,"Check Data ⚠")</f>
        <v>2079.2936185042022</v>
      </c>
      <c r="I10" s="1277"/>
      <c r="J10" s="621"/>
      <c r="O10" s="620"/>
      <c r="P10" s="620"/>
      <c r="Q10" s="620"/>
      <c r="R10" s="620"/>
      <c r="S10" s="620"/>
    </row>
    <row r="11" spans="2:19" ht="15.75" customHeight="1" x14ac:dyDescent="0.25">
      <c r="B11" s="1270"/>
      <c r="C11" s="1271"/>
      <c r="D11" s="1271"/>
      <c r="E11" s="1272"/>
      <c r="F11" s="1282" t="s">
        <v>76</v>
      </c>
      <c r="G11" s="1289"/>
      <c r="H11" s="1287">
        <f ca="1">IFERROR('Headline Results'!$H$48:$I$48,"Check Data ⚠")</f>
        <v>332.1931023132538</v>
      </c>
      <c r="I11" s="1288"/>
    </row>
    <row r="12" spans="2:19" ht="18.600000000000001" customHeight="1" thickBot="1" x14ac:dyDescent="0.3">
      <c r="B12" s="1273"/>
      <c r="C12" s="1274"/>
      <c r="D12" s="1274"/>
      <c r="E12" s="1275"/>
      <c r="F12" s="1253" t="s">
        <v>77</v>
      </c>
      <c r="G12" s="1254"/>
      <c r="H12" s="1255">
        <f>IFERROR('Headline Results'!$H$49:$I$49,"Check Data ⚠")</f>
        <v>43.946329363163812</v>
      </c>
      <c r="I12" s="1256"/>
    </row>
    <row r="13" spans="2:19" ht="15.75" customHeight="1" thickBot="1" x14ac:dyDescent="0.25"/>
    <row r="14" spans="2:19" ht="18.75" customHeight="1" x14ac:dyDescent="0.2">
      <c r="B14" s="1267" t="s">
        <v>97</v>
      </c>
      <c r="C14" s="1268"/>
      <c r="D14" s="1268"/>
      <c r="E14" s="1269"/>
      <c r="F14" s="1278" t="s">
        <v>75</v>
      </c>
      <c r="G14" s="1286"/>
      <c r="H14" s="1284">
        <f ca="1">IFERROR('Headline Results'!$H$51:$I$51,"Check Data ⚠")</f>
        <v>0.81283399226151964</v>
      </c>
      <c r="I14" s="1285"/>
    </row>
    <row r="15" spans="2:19" ht="18.75" customHeight="1" x14ac:dyDescent="0.2">
      <c r="B15" s="1270"/>
      <c r="C15" s="1271"/>
      <c r="D15" s="1271"/>
      <c r="E15" s="1272"/>
      <c r="F15" s="1282" t="s">
        <v>76</v>
      </c>
      <c r="G15" s="1283"/>
      <c r="H15" s="1280">
        <f ca="1">IFERROR('Headline Results'!$H$52:$I$52,"Check Data ⚠")</f>
        <v>0.59183226774872055</v>
      </c>
      <c r="I15" s="1281"/>
    </row>
    <row r="16" spans="2:19" ht="18.75" customHeight="1" thickBot="1" x14ac:dyDescent="0.25">
      <c r="B16" s="1273"/>
      <c r="C16" s="1274"/>
      <c r="D16" s="1274"/>
      <c r="E16" s="1275"/>
      <c r="F16" s="1253" t="s">
        <v>77</v>
      </c>
      <c r="G16" s="1292"/>
      <c r="H16" s="1290">
        <f>IFERROR('Headline Results'!$H$53:$I$53,"Check Data ⚠")</f>
        <v>0.27744408214444821</v>
      </c>
      <c r="I16" s="1291"/>
    </row>
    <row r="17" spans="2:9" ht="18.75" customHeight="1" thickBot="1" x14ac:dyDescent="0.25"/>
    <row r="18" spans="2:9" ht="25.5" customHeight="1" x14ac:dyDescent="0.2">
      <c r="B18" s="1293" t="s">
        <v>98</v>
      </c>
      <c r="C18" s="1293"/>
      <c r="D18" s="1293"/>
      <c r="E18" s="1293"/>
      <c r="F18" s="1293"/>
      <c r="G18" s="1293"/>
      <c r="H18" s="1293"/>
      <c r="I18" s="1293"/>
    </row>
    <row r="19" spans="2:9" ht="22.5" customHeight="1" thickBot="1" x14ac:dyDescent="0.25">
      <c r="B19" s="1294"/>
      <c r="C19" s="1294"/>
      <c r="D19" s="1294"/>
      <c r="E19" s="1294"/>
      <c r="F19" s="1294"/>
      <c r="G19" s="1294"/>
      <c r="H19" s="1294"/>
      <c r="I19" s="1294"/>
    </row>
    <row r="20" spans="2:9" ht="18.75" customHeight="1" thickBot="1" x14ac:dyDescent="0.45">
      <c r="B20" s="1246"/>
      <c r="C20" s="1246"/>
      <c r="D20" s="1249" t="s">
        <v>99</v>
      </c>
      <c r="E20" s="1249"/>
      <c r="F20" s="1249" t="s">
        <v>53</v>
      </c>
      <c r="G20" s="1249"/>
      <c r="H20" s="1249" t="s">
        <v>59</v>
      </c>
      <c r="I20" s="1249"/>
    </row>
    <row r="21" spans="2:9" ht="18.75" customHeight="1" x14ac:dyDescent="0.2">
      <c r="B21" s="1205" t="s">
        <v>100</v>
      </c>
      <c r="C21" s="1206"/>
      <c r="D21" s="1247">
        <f>IF(AND($K$40=0,'A-1 On-Site Habitat Baseline'!Y11:Y258&lt;&gt;"No",'D-1 Off-Site Habitat Baseline'!AB11:AB258&lt;&gt;"No"),'A-1 On-Site Habitat Baseline'!$H259+'D-1 Off-Site Habitat Baseline'!H259,"Error ▲")</f>
        <v>1210.9323299682765</v>
      </c>
      <c r="E21" s="1247"/>
      <c r="F21" s="1239">
        <f>'B-1 On-Site Hedge Baseline'!$E$258+'E-1 Off-Site Hedge Baseline'!$E$258</f>
        <v>67.884599999999978</v>
      </c>
      <c r="G21" s="1239"/>
      <c r="H21" s="1239">
        <f>'C-1 On-Site WaterC'' Baseline'!$E$258+'F-1 Off-Site WaterC'' Baseline'!$E$258</f>
        <v>36.73141018019107</v>
      </c>
      <c r="I21" s="1240"/>
    </row>
    <row r="22" spans="2:9" ht="18.75" customHeight="1" thickBot="1" x14ac:dyDescent="0.25">
      <c r="B22" s="1207" t="s">
        <v>101</v>
      </c>
      <c r="C22" s="1208"/>
      <c r="D22" s="1248">
        <f>IF(AND($K$40=0,'A-1 On-Site Habitat Baseline'!Y11:Y258&lt;&gt;"No",'D-1 Off-Site Habitat Baseline'!AB11:AB258&lt;&gt;"No"),'A-1 On-Site Habitat Baseline'!$Q259+'D-1 Off-Site Habitat Baseline'!T259,"Error ▲")</f>
        <v>2558.0790644828426</v>
      </c>
      <c r="E22" s="1248"/>
      <c r="F22" s="1241">
        <f>'B-1 On-Site Hedge Baseline'!$N$258+'E-1 Off-Site Hedge Baseline'!$Q$258</f>
        <v>561.29602999999986</v>
      </c>
      <c r="G22" s="1241"/>
      <c r="H22" s="1241">
        <f>'C-1 On-Site WaterC'' Baseline'!$R$258+'F-1 Off-Site WaterC'' Baseline'!$U$258</f>
        <v>158.39706878405732</v>
      </c>
      <c r="I22" s="1242"/>
    </row>
    <row r="23" spans="2:9" ht="18.75" customHeight="1" thickBot="1" x14ac:dyDescent="0.25">
      <c r="D23" s="621"/>
      <c r="F23" s="621"/>
      <c r="H23" s="621"/>
    </row>
    <row r="24" spans="2:9" ht="18.75" customHeight="1" x14ac:dyDescent="0.2">
      <c r="B24" s="1205" t="s">
        <v>102</v>
      </c>
      <c r="C24" s="1206"/>
      <c r="D24" s="1247">
        <f>IF(AND($K$40=0,'A-1 On-Site Habitat Baseline'!Y11:Y258&lt;&gt;"No",'D-1 Off-Site Habitat Baseline'!AB11:AB258&lt;&gt;"No"),'A-1 On-Site Habitat Baseline'!$S259+'D-1 Off-Site Habitat Baseline'!V259,"Error ▲")</f>
        <v>17.683396528091812</v>
      </c>
      <c r="E24" s="1247"/>
      <c r="F24" s="1239">
        <f>'B-1 On-Site Hedge Baseline'!$P$258+'E-1 Off-Site Hedge Baseline'!$S$258</f>
        <v>46.138399999999997</v>
      </c>
      <c r="G24" s="1239"/>
      <c r="H24" s="1239">
        <f>'C-1 On-Site WaterC'' Baseline'!T258+'F-1 Off-Site WaterC'' Baseline'!W258</f>
        <v>0.59532115351422132</v>
      </c>
      <c r="I24" s="1240"/>
    </row>
    <row r="25" spans="2:9" ht="18.75" customHeight="1" thickBot="1" x14ac:dyDescent="0.25">
      <c r="B25" s="1207" t="s">
        <v>103</v>
      </c>
      <c r="C25" s="1208"/>
      <c r="D25" s="1248">
        <f>IF(AND($K$40=0,'A-1 On-Site Habitat Baseline'!Y11:Y258&lt;&gt;"No",'D-1 Off-Site Habitat Baseline'!AB11:AB258&lt;&gt;"No"),'A-1 On-Site Habitat Baseline'!$U259+'D-1 Off-Site Habitat Baseline'!X259,"Error ▲")</f>
        <v>95.668309074471466</v>
      </c>
      <c r="E25" s="1248"/>
      <c r="F25" s="1241">
        <f>'B-1 On-Site Hedge Baseline'!R258+'E-1 Off-Site Hedge Baseline'!U258</f>
        <v>385.19090000000006</v>
      </c>
      <c r="G25" s="1241"/>
      <c r="H25" s="1241">
        <f>'C-1 On-Site WaterC'' Baseline'!V258+'F-1 Off-Site WaterC'' Baseline'!Y258</f>
        <v>1.7928025941594341</v>
      </c>
      <c r="I25" s="1242"/>
    </row>
    <row r="26" spans="2:9" ht="18.75" customHeight="1" thickBot="1" x14ac:dyDescent="0.25">
      <c r="D26" s="621"/>
      <c r="F26" s="621"/>
      <c r="H26" s="621"/>
    </row>
    <row r="27" spans="2:9" ht="18.75" customHeight="1" x14ac:dyDescent="0.2">
      <c r="B27" s="1205" t="s">
        <v>104</v>
      </c>
      <c r="C27" s="1206"/>
      <c r="D27" s="1247">
        <f>IF(AND($K$40=0,'A-1 On-Site Habitat Baseline'!Y11:Y258&lt;&gt;"No",'D-1 Off-Site Habitat Baseline'!AB11:AB258&lt;&gt;"No"),'A-1 On-Site Habitat Baseline'!$T259+'D-1 Off-Site Habitat Baseline'!W259,"Error ▲")</f>
        <v>21.031845810189665</v>
      </c>
      <c r="E27" s="1247"/>
      <c r="F27" s="1239">
        <f>'B-1 On-Site Hedge Baseline'!$Q$258+'E-1 Off-Site Hedge Baseline'!$T$258</f>
        <v>21.122500000000006</v>
      </c>
      <c r="G27" s="1239"/>
      <c r="H27" s="1239">
        <f>'C-1 On-Site WaterC'' Baseline'!U258+'F-1 Off-Site WaterC'' Baseline'!X258</f>
        <v>36.136089026676856</v>
      </c>
      <c r="I27" s="1240"/>
    </row>
    <row r="28" spans="2:9" ht="18.75" customHeight="1" thickBot="1" x14ac:dyDescent="0.25">
      <c r="B28" s="1207" t="s">
        <v>105</v>
      </c>
      <c r="C28" s="1208"/>
      <c r="D28" s="1248">
        <f>IF(AND($K$40=0,'A-1 On-Site Habitat Baseline'!Y11:Y258&lt;&gt;"No",'D-1 Off-Site Habitat Baseline'!AB11:AB258&lt;&gt;"No"),'A-1 On-Site Habitat Baseline'!$V259+'D-1 Off-Site Habitat Baseline'!Y259,"Error ▲")</f>
        <v>44.008448238455706</v>
      </c>
      <c r="E28" s="1248"/>
      <c r="F28" s="1241">
        <f>'B-1 On-Site Hedge Baseline'!$S$258+'E-1 Off-Site Hedge Baseline'!$V$258</f>
        <v>171.13884000000002</v>
      </c>
      <c r="G28" s="1241"/>
      <c r="H28" s="1241">
        <f>'C-1 On-Site WaterC'' Baseline'!W258+'F-1 Off-Site WaterC'' Baseline'!Z258</f>
        <v>156.60426618989791</v>
      </c>
      <c r="I28" s="1242"/>
    </row>
    <row r="29" spans="2:9" ht="18.75" customHeight="1" thickBot="1" x14ac:dyDescent="0.25">
      <c r="D29" s="621"/>
      <c r="F29" s="621"/>
      <c r="H29" s="621"/>
    </row>
    <row r="30" spans="2:9" ht="18.75" customHeight="1" x14ac:dyDescent="0.2">
      <c r="B30" s="1205" t="s">
        <v>106</v>
      </c>
      <c r="C30" s="1206"/>
      <c r="D30" s="1247">
        <f>IF(AND($K$40=0,'A-1 On-Site Habitat Baseline'!Y11:Y258&lt;&gt;"No",'D-1 Off-Site Habitat Baseline'!AB11:AB258&lt;&gt;"No"),'A-1 On-Site Habitat Baseline'!$W259+'D-1 Off-Site Habitat Baseline'!Z259,"Error ▲")</f>
        <v>1172.2170876299949</v>
      </c>
      <c r="E30" s="1247"/>
      <c r="F30" s="1239">
        <f>'B-1 On-Site Hedge Baseline'!$T$258+'E-1 Off-Site Hedge Baseline'!$W$258</f>
        <v>0.62370000000000014</v>
      </c>
      <c r="G30" s="1239"/>
      <c r="H30" s="1239">
        <f>'C-1 On-Site WaterC'' Baseline'!X258+'F-1 Off-Site WaterC'' Baseline'!AA258</f>
        <v>0</v>
      </c>
      <c r="I30" s="1240"/>
    </row>
    <row r="31" spans="2:9" ht="18.75" customHeight="1" thickBot="1" x14ac:dyDescent="0.25">
      <c r="B31" s="1207" t="s">
        <v>107</v>
      </c>
      <c r="C31" s="1208"/>
      <c r="D31" s="1248">
        <f>IF(AND($K$40=0,'A-1 On-Site Habitat Baseline'!Y11:Y258&lt;&gt;"No",'D-1 Off-Site Habitat Baseline'!AB11:AB258&lt;&gt;"No"),'A-1 On-Site Habitat Baseline'!$X259+'D-1 Off-Site Habitat Baseline'!AA259,"Error ▲")</f>
        <v>2418.4023071699153</v>
      </c>
      <c r="E31" s="1248"/>
      <c r="F31" s="1241">
        <f>'B-1 On-Site Hedge Baseline'!$U$258+'E-1 Off-Site Hedge Baseline'!$X$258</f>
        <v>4.9662899999999972</v>
      </c>
      <c r="G31" s="1241"/>
      <c r="H31" s="1241">
        <f>'C-1 On-Site WaterC'' Baseline'!Y258+'F-1 Off-Site WaterC'' Baseline'!AB258</f>
        <v>-2.8421709430404007E-14</v>
      </c>
      <c r="I31" s="1242"/>
    </row>
    <row r="32" spans="2:9" ht="25.9" customHeight="1" thickBot="1" x14ac:dyDescent="0.25">
      <c r="C32" s="621"/>
      <c r="D32" s="621"/>
      <c r="E32" s="621"/>
    </row>
    <row r="33" spans="1:22" s="622" customFormat="1" ht="43.9" customHeight="1" thickTop="1" thickBot="1" x14ac:dyDescent="0.25">
      <c r="A33" s="1209" t="s">
        <v>108</v>
      </c>
      <c r="C33" s="623"/>
      <c r="D33" s="623"/>
      <c r="E33" s="623"/>
    </row>
    <row r="34" spans="1:22" ht="26.25" thickBot="1" x14ac:dyDescent="0.4">
      <c r="A34" s="1210"/>
      <c r="B34" s="624" t="s">
        <v>45</v>
      </c>
    </row>
    <row r="35" spans="1:22" ht="18.75" customHeight="1" thickBot="1" x14ac:dyDescent="0.25">
      <c r="A35" s="1210"/>
    </row>
    <row r="36" spans="1:22" ht="22.15" customHeight="1" thickBot="1" x14ac:dyDescent="0.3">
      <c r="A36" s="1210"/>
      <c r="B36" s="1221" t="s">
        <v>109</v>
      </c>
      <c r="C36" s="1221"/>
      <c r="D36" s="1221"/>
      <c r="E36" s="1221"/>
      <c r="F36" s="1221"/>
      <c r="G36" s="1221"/>
      <c r="H36" s="1221"/>
      <c r="J36" s="1227" t="s">
        <v>110</v>
      </c>
      <c r="K36" s="1228"/>
      <c r="L36" s="1229"/>
    </row>
    <row r="37" spans="1:22" ht="34.15" customHeight="1" thickBot="1" x14ac:dyDescent="0.25">
      <c r="A37" s="1210"/>
      <c r="B37" s="625"/>
      <c r="C37" s="1204" t="s">
        <v>111</v>
      </c>
      <c r="D37" s="1204"/>
      <c r="E37" s="1204" t="s">
        <v>112</v>
      </c>
      <c r="F37" s="1204"/>
      <c r="G37" s="1204" t="s">
        <v>113</v>
      </c>
      <c r="H37" s="1204"/>
      <c r="J37" s="1230"/>
      <c r="K37" s="1231"/>
      <c r="L37" s="1232"/>
      <c r="U37" s="1295"/>
      <c r="V37" s="1295"/>
    </row>
    <row r="38" spans="1:22" ht="52.9" customHeight="1" thickBot="1" x14ac:dyDescent="0.25">
      <c r="A38" s="1210"/>
      <c r="B38" s="635" t="s">
        <v>114</v>
      </c>
      <c r="C38" s="636" t="s">
        <v>115</v>
      </c>
      <c r="D38" s="636" t="s">
        <v>116</v>
      </c>
      <c r="E38" s="636" t="s">
        <v>117</v>
      </c>
      <c r="F38" s="636" t="s">
        <v>118</v>
      </c>
      <c r="G38" s="636" t="s">
        <v>119</v>
      </c>
      <c r="H38" s="636" t="s">
        <v>120</v>
      </c>
      <c r="J38" s="1233" t="s">
        <v>121</v>
      </c>
      <c r="K38" s="1235" t="s">
        <v>122</v>
      </c>
      <c r="L38" s="1237" t="s">
        <v>123</v>
      </c>
      <c r="U38" s="1295"/>
      <c r="V38" s="1295"/>
    </row>
    <row r="39" spans="1:22" ht="15.75" x14ac:dyDescent="0.2">
      <c r="A39" s="1210"/>
      <c r="B39" s="637" t="s">
        <v>124</v>
      </c>
      <c r="C39" s="638">
        <f>'G-2 Habitat groups'!$AK$4</f>
        <v>1038.0702998839545</v>
      </c>
      <c r="D39" s="638">
        <f>'G-2 Habitat groups'!$AL$4</f>
        <v>2113.6942459893717</v>
      </c>
      <c r="E39" s="638">
        <f>'G-2 Habitat groups'!$AM$4</f>
        <v>3.2937480797845708</v>
      </c>
      <c r="F39" s="638">
        <f>'G-2 Habitat groups'!$AN$4</f>
        <v>7.1773442153463529</v>
      </c>
      <c r="G39" s="638">
        <f>E39-C39</f>
        <v>-1034.7765518041699</v>
      </c>
      <c r="H39" s="639">
        <f>F39-D39</f>
        <v>-2106.5169017740254</v>
      </c>
      <c r="J39" s="1234"/>
      <c r="K39" s="1236"/>
      <c r="L39" s="1238"/>
    </row>
    <row r="40" spans="1:22" ht="15.75" x14ac:dyDescent="0.2">
      <c r="A40" s="1210"/>
      <c r="B40" s="640" t="s">
        <v>125</v>
      </c>
      <c r="C40" s="628">
        <f>'G-2 Habitat groups'!$AK$5</f>
        <v>125.89335776903762</v>
      </c>
      <c r="D40" s="628">
        <f>'G-2 Habitat groups'!$AL$5</f>
        <v>279.79914765371603</v>
      </c>
      <c r="E40" s="628">
        <f>'G-2 Habitat groups'!$AM$5</f>
        <v>1123.8651851966295</v>
      </c>
      <c r="F40" s="628">
        <f ca="1">'G-2 Habitat groups'!$AN$5</f>
        <v>4374.5505912993522</v>
      </c>
      <c r="G40" s="628">
        <f t="shared" ref="G40:G50" si="0">E40-C40</f>
        <v>997.97182742759185</v>
      </c>
      <c r="H40" s="629">
        <f t="shared" ref="H40:H50" ca="1" si="1">F40-D40</f>
        <v>4094.7514436456363</v>
      </c>
      <c r="J40" s="1217" t="str">
        <f>'G-1 All Habitats'!$V$3</f>
        <v>V.High</v>
      </c>
      <c r="K40" s="1219">
        <f>SUMIF('A-1 On-Site Habitat Baseline'!$I$11:$I$258,'Detailed Results'!J40,'A-1 On-Site Habitat Baseline'!$W$11:$W$258)+SUMIF('D-1 Off-Site Habitat Baseline'!$I$11:$I$258,'Detailed Results'!J40,'D-1 Off-Site Habitat Baseline'!$Z$11:$Z$258)</f>
        <v>0</v>
      </c>
      <c r="L40" s="1224" t="str">
        <f>IF(K40=0,"",(K40/(SUM($K$40:$K$49)))*100)</f>
        <v/>
      </c>
    </row>
    <row r="41" spans="1:22" ht="15.75" x14ac:dyDescent="0.2">
      <c r="A41" s="1210"/>
      <c r="B41" s="640" t="s">
        <v>126</v>
      </c>
      <c r="C41" s="628">
        <f>'G-2 Habitat groups'!$AK$6</f>
        <v>2.0071139935784337</v>
      </c>
      <c r="D41" s="628">
        <f>'G-2 Habitat groups'!$AL$6</f>
        <v>17.149994559236568</v>
      </c>
      <c r="E41" s="628">
        <f>'G-2 Habitat groups'!$AM$6</f>
        <v>2.4575870977530268</v>
      </c>
      <c r="F41" s="628">
        <f>'G-2 Habitat groups'!$AN$6</f>
        <v>17.335117783550452</v>
      </c>
      <c r="G41" s="628">
        <f t="shared" si="0"/>
        <v>0.45047310417459308</v>
      </c>
      <c r="H41" s="629">
        <f t="shared" si="1"/>
        <v>0.18512322431388384</v>
      </c>
      <c r="J41" s="1218"/>
      <c r="K41" s="1220"/>
      <c r="L41" s="1225"/>
    </row>
    <row r="42" spans="1:22" ht="15.75" x14ac:dyDescent="0.2">
      <c r="A42" s="1210"/>
      <c r="B42" s="640" t="s">
        <v>127</v>
      </c>
      <c r="C42" s="628">
        <f>'G-2 Habitat groups'!$AK$7</f>
        <v>1.9674123836259706E-2</v>
      </c>
      <c r="D42" s="628">
        <f>'G-2 Habitat groups'!$AL$7</f>
        <v>9.0500969646794632E-2</v>
      </c>
      <c r="E42" s="628">
        <f>'G-2 Habitat groups'!$AM$7</f>
        <v>1.9674123836259706E-2</v>
      </c>
      <c r="F42" s="628">
        <f>'G-2 Habitat groups'!$AN$7</f>
        <v>9.0500969646794632E-2</v>
      </c>
      <c r="G42" s="628">
        <f t="shared" si="0"/>
        <v>0</v>
      </c>
      <c r="H42" s="629">
        <f t="shared" si="1"/>
        <v>0</v>
      </c>
      <c r="J42" s="1217" t="str">
        <f>'G-1 All Habitats'!$V$4</f>
        <v>High</v>
      </c>
      <c r="K42" s="1219">
        <f>SUMIF('A-1 On-Site Habitat Baseline'!$I$11:$I$258,'Detailed Results'!J42,'A-1 On-Site Habitat Baseline'!$W$11:$W$258)+SUMIF('D-1 Off-Site Habitat Baseline'!$I$11:$I$258,'Detailed Results'!J42,'D-1 Off-Site Habitat Baseline'!$Z$11:$Z$258)</f>
        <v>0</v>
      </c>
      <c r="L42" s="1224" t="str">
        <f>IF(K42=0,"",(K42/(SUM($K$40:$K$49)))*100)</f>
        <v/>
      </c>
    </row>
    <row r="43" spans="1:22" ht="15.75" x14ac:dyDescent="0.2">
      <c r="A43" s="1210"/>
      <c r="B43" s="640" t="s">
        <v>128</v>
      </c>
      <c r="C43" s="628">
        <f>'G-2 Habitat groups'!$AK$8</f>
        <v>30.915954484689941</v>
      </c>
      <c r="D43" s="628">
        <f>'G-2 Habitat groups'!$AL$8</f>
        <v>64.37083245568688</v>
      </c>
      <c r="E43" s="628">
        <f>'G-2 Habitat groups'!$AM$8</f>
        <v>0</v>
      </c>
      <c r="F43" s="628">
        <f>'G-2 Habitat groups'!$AN$8</f>
        <v>0</v>
      </c>
      <c r="G43" s="628">
        <f t="shared" si="0"/>
        <v>-30.915954484689941</v>
      </c>
      <c r="H43" s="629">
        <f t="shared" si="1"/>
        <v>-64.37083245568688</v>
      </c>
      <c r="J43" s="1218"/>
      <c r="K43" s="1220"/>
      <c r="L43" s="1225"/>
    </row>
    <row r="44" spans="1:22" ht="15.75" x14ac:dyDescent="0.2">
      <c r="A44" s="1210"/>
      <c r="B44" s="640" t="s">
        <v>129</v>
      </c>
      <c r="C44" s="628">
        <f>'G-2 Habitat groups'!$AK$9</f>
        <v>3.810654043153213</v>
      </c>
      <c r="D44" s="628">
        <f>'G-2 Habitat groups'!$AL$9</f>
        <v>1.7707742577520333</v>
      </c>
      <c r="E44" s="628">
        <f>'G-2 Habitat groups'!$AM$9</f>
        <v>67.027861500445283</v>
      </c>
      <c r="F44" s="628">
        <f>'G-2 Habitat groups'!$AN$9</f>
        <v>139.03469782409482</v>
      </c>
      <c r="G44" s="628">
        <f t="shared" si="0"/>
        <v>63.217207457292069</v>
      </c>
      <c r="H44" s="629">
        <f t="shared" si="1"/>
        <v>137.26392356634278</v>
      </c>
      <c r="J44" s="1217" t="str">
        <f>'G-1 All Habitats'!$V5</f>
        <v>Medium</v>
      </c>
      <c r="K44" s="1219">
        <f>SUMIF('A-1 On-Site Habitat Baseline'!$I$11:$I$258,'Detailed Results'!J44,'A-1 On-Site Habitat Baseline'!$W$11:$W$258)+SUMIF('D-1 Off-Site Habitat Baseline'!$I$11:$I$258,'Detailed Results'!J44,'D-1 Off-Site Habitat Baseline'!$Z$11:$Z$258)</f>
        <v>8.6244022727618539</v>
      </c>
      <c r="L44" s="1224">
        <f>IF(K44=0,"",(K44/(SUM($K$40:$K$49)))*100)</f>
        <v>0.73573422225048724</v>
      </c>
    </row>
    <row r="45" spans="1:22" ht="15.75" x14ac:dyDescent="0.2">
      <c r="A45" s="1210"/>
      <c r="B45" s="640" t="s">
        <v>130</v>
      </c>
      <c r="C45" s="628">
        <f>'G-2 Habitat groups'!$AK$10</f>
        <v>0</v>
      </c>
      <c r="D45" s="628">
        <f>'G-2 Habitat groups'!$AL$10</f>
        <v>0</v>
      </c>
      <c r="E45" s="628">
        <f>'G-2 Habitat groups'!$AM$10</f>
        <v>0</v>
      </c>
      <c r="F45" s="628">
        <f>'G-2 Habitat groups'!$AN$10</f>
        <v>0</v>
      </c>
      <c r="G45" s="628">
        <f t="shared" si="0"/>
        <v>0</v>
      </c>
      <c r="H45" s="629">
        <f t="shared" si="1"/>
        <v>0</v>
      </c>
      <c r="J45" s="1218"/>
      <c r="K45" s="1220"/>
      <c r="L45" s="1225"/>
    </row>
    <row r="46" spans="1:22" ht="15.75" x14ac:dyDescent="0.2">
      <c r="A46" s="1210"/>
      <c r="B46" s="640" t="s">
        <v>131</v>
      </c>
      <c r="C46" s="628">
        <f>'G-2 Habitat groups'!$AK$11</f>
        <v>10.215275670026225</v>
      </c>
      <c r="D46" s="628">
        <f>'G-2 Habitat groups'!$AL$11</f>
        <v>81.203568597432692</v>
      </c>
      <c r="E46" s="628">
        <f>'G-2 Habitat groups'!$AM$11</f>
        <v>14.291385489870727</v>
      </c>
      <c r="F46" s="628">
        <f>'G-2 Habitat groups'!$AN$11</f>
        <v>99.184430895053609</v>
      </c>
      <c r="G46" s="628">
        <f t="shared" si="0"/>
        <v>4.0761098198445023</v>
      </c>
      <c r="H46" s="629">
        <f t="shared" si="1"/>
        <v>17.980862297620916</v>
      </c>
      <c r="J46" s="1217" t="str">
        <f>'G-1 All Habitats'!$V$6</f>
        <v>Low</v>
      </c>
      <c r="K46" s="1219">
        <f>SUMIF('A-1 On-Site Habitat Baseline'!$I$11:$I$258,'Detailed Results'!J46,'A-1 On-Site Habitat Baseline'!$W$11:$W$258)+SUMIF('D-1 Off-Site Habitat Baseline'!$I$11:$I$258,'Detailed Results'!J46,'D-1 Off-Site Habitat Baseline'!$Z$11:$Z$258)</f>
        <v>1161.2233981892327</v>
      </c>
      <c r="L46" s="1224">
        <f>IF(K46=0,"",(K46/(SUM($K$40:$K$49)))*100)</f>
        <v>99.062145607944586</v>
      </c>
    </row>
    <row r="47" spans="1:22" ht="15.75" x14ac:dyDescent="0.2">
      <c r="A47" s="1210"/>
      <c r="B47" s="641" t="s">
        <v>132</v>
      </c>
      <c r="C47" s="628">
        <f>'G-2 Habitat groups'!$AK$12</f>
        <v>0</v>
      </c>
      <c r="D47" s="628">
        <f>'G-2 Habitat groups'!$AL$12</f>
        <v>0</v>
      </c>
      <c r="E47" s="628">
        <f>'G-2 Habitat groups'!$AM$12</f>
        <v>0</v>
      </c>
      <c r="F47" s="628">
        <f>'G-2 Habitat groups'!$AN$12</f>
        <v>0</v>
      </c>
      <c r="G47" s="628">
        <f t="shared" si="0"/>
        <v>0</v>
      </c>
      <c r="H47" s="629">
        <f t="shared" si="1"/>
        <v>0</v>
      </c>
      <c r="J47" s="1218"/>
      <c r="K47" s="1220"/>
      <c r="L47" s="1225"/>
    </row>
    <row r="48" spans="1:22" ht="15.75" x14ac:dyDescent="0.2">
      <c r="A48" s="1210"/>
      <c r="B48" s="641" t="s">
        <v>133</v>
      </c>
      <c r="C48" s="628">
        <f>'G-2 Habitat groups'!$AK$13</f>
        <v>0</v>
      </c>
      <c r="D48" s="628">
        <f>'G-2 Habitat groups'!$AL$13</f>
        <v>0</v>
      </c>
      <c r="E48" s="628">
        <f>'G-2 Habitat groups'!$AM$13</f>
        <v>0</v>
      </c>
      <c r="F48" s="628">
        <f>'G-2 Habitat groups'!$AN$13</f>
        <v>0</v>
      </c>
      <c r="G48" s="628">
        <f t="shared" si="0"/>
        <v>0</v>
      </c>
      <c r="H48" s="629">
        <f t="shared" si="1"/>
        <v>0</v>
      </c>
      <c r="J48" s="1217" t="str">
        <f>'G-1 All Habitats'!$V$7</f>
        <v>V.Low</v>
      </c>
      <c r="K48" s="1219">
        <f>SUMIF('A-1 On-Site Habitat Baseline'!$I$11:$I$258,'Detailed Results'!J48,'A-1 On-Site Habitat Baseline'!$W$11:$W$258)+SUMIF('D-1 Off-Site Habitat Baseline'!$I$11:$I$258,'Detailed Results'!J48,'D-1 Off-Site Habitat Baseline'!$Z$11:$Z$258)</f>
        <v>2.3692871680001089</v>
      </c>
      <c r="L48" s="1224">
        <f>IF(K48=0,"",(K48/(SUM($K$40:$K$49)))*100)</f>
        <v>0.20212016980492645</v>
      </c>
    </row>
    <row r="49" spans="1:33" ht="16.5" thickBot="1" x14ac:dyDescent="0.25">
      <c r="A49" s="1210"/>
      <c r="B49" s="641" t="s">
        <v>134</v>
      </c>
      <c r="C49" s="628">
        <f>'G-2 Habitat groups'!$AK$14</f>
        <v>0</v>
      </c>
      <c r="D49" s="628">
        <f>'G-2 Habitat groups'!$AL$14</f>
        <v>0</v>
      </c>
      <c r="E49" s="628">
        <f>'G-2 Habitat groups'!$AM$14</f>
        <v>0</v>
      </c>
      <c r="F49" s="628">
        <f>'G-2 Habitat groups'!$AN$14</f>
        <v>0</v>
      </c>
      <c r="G49" s="628">
        <f t="shared" si="0"/>
        <v>0</v>
      </c>
      <c r="H49" s="629">
        <f t="shared" si="1"/>
        <v>0</v>
      </c>
      <c r="J49" s="1222"/>
      <c r="K49" s="1223"/>
      <c r="L49" s="1226"/>
    </row>
    <row r="50" spans="1:33" ht="15.75" x14ac:dyDescent="0.2">
      <c r="A50" s="1210"/>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x14ac:dyDescent="0.2">
      <c r="A51" s="1210"/>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x14ac:dyDescent="0.2">
      <c r="A52" s="1210"/>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x14ac:dyDescent="0.25">
      <c r="A53" s="1210"/>
      <c r="B53" s="653" t="s">
        <v>138</v>
      </c>
      <c r="C53" s="630">
        <f>'G-2 Habitat groups'!$AK$17</f>
        <v>0</v>
      </c>
      <c r="D53" s="630">
        <f>'G-2 Habitat groups'!$AL$17</f>
        <v>0</v>
      </c>
      <c r="E53" s="630">
        <f>'G-2 Habitat groups'!$AM$17</f>
        <v>0</v>
      </c>
      <c r="F53" s="630">
        <f>'G-2 Habitat groups'!$AN$17</f>
        <v>0</v>
      </c>
      <c r="G53" s="630">
        <f t="shared" si="2"/>
        <v>0</v>
      </c>
      <c r="H53" s="631">
        <f t="shared" si="2"/>
        <v>0</v>
      </c>
    </row>
    <row r="54" spans="1:33" ht="15.75" customHeight="1" x14ac:dyDescent="0.2">
      <c r="A54" s="1210"/>
    </row>
    <row r="55" spans="1:33" ht="10.15" customHeight="1" thickBot="1" x14ac:dyDescent="0.25">
      <c r="A55" s="1210"/>
    </row>
    <row r="56" spans="1:33" ht="22.9" customHeight="1" thickBot="1" x14ac:dyDescent="0.45">
      <c r="A56" s="1210"/>
      <c r="B56" s="1221" t="s">
        <v>139</v>
      </c>
      <c r="C56" s="1221"/>
      <c r="D56" s="1221"/>
      <c r="E56" s="1221"/>
      <c r="F56" s="1221"/>
      <c r="G56" s="1221"/>
      <c r="H56" s="1221"/>
      <c r="I56" s="632"/>
      <c r="J56" s="632"/>
      <c r="K56" s="632"/>
      <c r="L56" s="632"/>
      <c r="M56" s="632"/>
    </row>
    <row r="57" spans="1:33" s="634" customFormat="1" ht="38.25" customHeight="1" thickBot="1" x14ac:dyDescent="0.25">
      <c r="A57" s="1210"/>
      <c r="B57" s="625"/>
      <c r="C57" s="1204" t="s">
        <v>111</v>
      </c>
      <c r="D57" s="1204"/>
      <c r="E57" s="1204" t="s">
        <v>140</v>
      </c>
      <c r="F57" s="1204"/>
      <c r="G57" s="1204" t="s">
        <v>141</v>
      </c>
      <c r="H57" s="1204"/>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x14ac:dyDescent="0.25">
      <c r="A58" s="1210"/>
      <c r="B58" s="635" t="s">
        <v>114</v>
      </c>
      <c r="C58" s="636" t="s">
        <v>142</v>
      </c>
      <c r="D58" s="636" t="s">
        <v>143</v>
      </c>
      <c r="E58" s="636" t="s">
        <v>144</v>
      </c>
      <c r="F58" s="636" t="s">
        <v>145</v>
      </c>
      <c r="G58" s="636" t="s">
        <v>146</v>
      </c>
      <c r="H58" s="636" t="s">
        <v>147</v>
      </c>
      <c r="I58" s="633"/>
      <c r="J58" s="633"/>
    </row>
    <row r="59" spans="1:33" ht="15.75" x14ac:dyDescent="0.2">
      <c r="A59" s="1210"/>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x14ac:dyDescent="0.2">
      <c r="A60" s="1210"/>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x14ac:dyDescent="0.2">
      <c r="A61" s="1210"/>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x14ac:dyDescent="0.2">
      <c r="A62" s="1210"/>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x14ac:dyDescent="0.2">
      <c r="A63" s="1210"/>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x14ac:dyDescent="0.2">
      <c r="A64" s="1210"/>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x14ac:dyDescent="0.2">
      <c r="A65" s="1210"/>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x14ac:dyDescent="0.2">
      <c r="A66" s="1210"/>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x14ac:dyDescent="0.2">
      <c r="A67" s="1210"/>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x14ac:dyDescent="0.2">
      <c r="A68" s="1210"/>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x14ac:dyDescent="0.2">
      <c r="A69" s="1210"/>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x14ac:dyDescent="0.2">
      <c r="A70" s="1210"/>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x14ac:dyDescent="0.2">
      <c r="A71" s="1210"/>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x14ac:dyDescent="0.2">
      <c r="A72" s="1210"/>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x14ac:dyDescent="0.25">
      <c r="A73" s="1210"/>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x14ac:dyDescent="0.25">
      <c r="A74" s="1210"/>
      <c r="B74" s="633"/>
      <c r="C74" s="633"/>
      <c r="D74" s="633"/>
      <c r="E74" s="633"/>
      <c r="F74" s="633"/>
      <c r="G74" s="633"/>
      <c r="H74" s="633"/>
      <c r="I74" s="633"/>
      <c r="J74" s="633"/>
    </row>
    <row r="75" spans="1:10" ht="18.75" thickBot="1" x14ac:dyDescent="0.3">
      <c r="A75" s="1210"/>
      <c r="B75" s="1221" t="s">
        <v>148</v>
      </c>
      <c r="C75" s="1221"/>
      <c r="D75" s="1221"/>
      <c r="E75" s="1221"/>
      <c r="F75" s="1221"/>
      <c r="G75" s="1221"/>
      <c r="H75" s="1221"/>
      <c r="I75" s="633"/>
      <c r="J75" s="633"/>
    </row>
    <row r="76" spans="1:10" ht="33.6" customHeight="1" thickBot="1" x14ac:dyDescent="0.25">
      <c r="A76" s="1210"/>
      <c r="B76" s="625"/>
      <c r="C76" s="1204" t="s">
        <v>111</v>
      </c>
      <c r="D76" s="1204"/>
      <c r="E76" s="1204" t="s">
        <v>149</v>
      </c>
      <c r="F76" s="1204"/>
      <c r="G76" s="1204" t="s">
        <v>150</v>
      </c>
      <c r="H76" s="1204"/>
      <c r="I76" s="633"/>
      <c r="J76" s="633"/>
    </row>
    <row r="77" spans="1:10" ht="45.6" customHeight="1" thickBot="1" x14ac:dyDescent="0.25">
      <c r="A77" s="1210"/>
      <c r="B77" s="635" t="s">
        <v>114</v>
      </c>
      <c r="C77" s="636" t="s">
        <v>151</v>
      </c>
      <c r="D77" s="636" t="s">
        <v>152</v>
      </c>
      <c r="E77" s="636" t="s">
        <v>153</v>
      </c>
      <c r="F77" s="636" t="s">
        <v>154</v>
      </c>
      <c r="G77" s="636" t="s">
        <v>155</v>
      </c>
      <c r="H77" s="636" t="s">
        <v>156</v>
      </c>
      <c r="I77" s="633"/>
      <c r="J77" s="633"/>
    </row>
    <row r="78" spans="1:10" ht="15.75" customHeight="1" x14ac:dyDescent="0.2">
      <c r="A78" s="1210"/>
      <c r="B78" s="637" t="s">
        <v>124</v>
      </c>
      <c r="C78" s="638">
        <f t="shared" ref="C78:H91" si="6">C39+C59</f>
        <v>1038.0702998839545</v>
      </c>
      <c r="D78" s="638">
        <f t="shared" si="6"/>
        <v>2113.6942459893717</v>
      </c>
      <c r="E78" s="638">
        <f t="shared" si="6"/>
        <v>3.2937480797845708</v>
      </c>
      <c r="F78" s="638">
        <f t="shared" si="6"/>
        <v>7.1773442153463529</v>
      </c>
      <c r="G78" s="638">
        <f t="shared" si="6"/>
        <v>-1034.7765518041699</v>
      </c>
      <c r="H78" s="639">
        <f t="shared" si="6"/>
        <v>-2106.5169017740254</v>
      </c>
      <c r="I78" s="633"/>
      <c r="J78" s="633"/>
    </row>
    <row r="79" spans="1:10" ht="15.75" customHeight="1" x14ac:dyDescent="0.2">
      <c r="A79" s="1210"/>
      <c r="B79" s="640" t="s">
        <v>125</v>
      </c>
      <c r="C79" s="628">
        <f t="shared" si="6"/>
        <v>125.89335776903762</v>
      </c>
      <c r="D79" s="628">
        <f t="shared" si="6"/>
        <v>279.79914765371603</v>
      </c>
      <c r="E79" s="628">
        <f t="shared" si="6"/>
        <v>1123.8651851966295</v>
      </c>
      <c r="F79" s="628">
        <f t="shared" ca="1" si="6"/>
        <v>4374.5505912993522</v>
      </c>
      <c r="G79" s="628">
        <f t="shared" si="6"/>
        <v>997.97182742759185</v>
      </c>
      <c r="H79" s="629">
        <f t="shared" ca="1" si="6"/>
        <v>4094.7514436456363</v>
      </c>
      <c r="I79" s="633"/>
      <c r="J79" s="633"/>
    </row>
    <row r="80" spans="1:10" ht="15.75" customHeight="1" x14ac:dyDescent="0.2">
      <c r="A80" s="1210"/>
      <c r="B80" s="640" t="s">
        <v>126</v>
      </c>
      <c r="C80" s="628">
        <f t="shared" si="6"/>
        <v>2.0071139935784337</v>
      </c>
      <c r="D80" s="628">
        <f t="shared" si="6"/>
        <v>17.149994559236568</v>
      </c>
      <c r="E80" s="628">
        <f t="shared" si="6"/>
        <v>2.4575870977530268</v>
      </c>
      <c r="F80" s="628">
        <f t="shared" si="6"/>
        <v>17.335117783550452</v>
      </c>
      <c r="G80" s="628">
        <f t="shared" si="6"/>
        <v>0.45047310417459308</v>
      </c>
      <c r="H80" s="629">
        <f t="shared" si="6"/>
        <v>0.18512322431388384</v>
      </c>
      <c r="I80" s="633"/>
      <c r="J80" s="633"/>
    </row>
    <row r="81" spans="1:10" ht="15.75" customHeight="1" x14ac:dyDescent="0.2">
      <c r="A81" s="1210"/>
      <c r="B81" s="640" t="s">
        <v>127</v>
      </c>
      <c r="C81" s="628">
        <f t="shared" si="6"/>
        <v>1.9674123836259706E-2</v>
      </c>
      <c r="D81" s="628">
        <f t="shared" si="6"/>
        <v>9.0500969646794632E-2</v>
      </c>
      <c r="E81" s="628">
        <f t="shared" si="6"/>
        <v>1.9674123836259706E-2</v>
      </c>
      <c r="F81" s="628">
        <f t="shared" si="6"/>
        <v>9.0500969646794632E-2</v>
      </c>
      <c r="G81" s="628">
        <f t="shared" si="6"/>
        <v>0</v>
      </c>
      <c r="H81" s="629">
        <f t="shared" si="6"/>
        <v>0</v>
      </c>
      <c r="I81" s="633"/>
      <c r="J81" s="633"/>
    </row>
    <row r="82" spans="1:10" ht="15.75" customHeight="1" x14ac:dyDescent="0.2">
      <c r="A82" s="1210"/>
      <c r="B82" s="640" t="s">
        <v>128</v>
      </c>
      <c r="C82" s="628">
        <f t="shared" si="6"/>
        <v>30.915954484689941</v>
      </c>
      <c r="D82" s="628">
        <f t="shared" si="6"/>
        <v>64.37083245568688</v>
      </c>
      <c r="E82" s="628">
        <f t="shared" si="6"/>
        <v>0</v>
      </c>
      <c r="F82" s="628">
        <f t="shared" si="6"/>
        <v>0</v>
      </c>
      <c r="G82" s="628">
        <f t="shared" si="6"/>
        <v>-30.915954484689941</v>
      </c>
      <c r="H82" s="629">
        <f t="shared" si="6"/>
        <v>-64.37083245568688</v>
      </c>
      <c r="I82" s="633"/>
      <c r="J82" s="633"/>
    </row>
    <row r="83" spans="1:10" ht="15.75" customHeight="1" x14ac:dyDescent="0.2">
      <c r="A83" s="1210"/>
      <c r="B83" s="640" t="s">
        <v>129</v>
      </c>
      <c r="C83" s="628">
        <f t="shared" si="6"/>
        <v>3.810654043153213</v>
      </c>
      <c r="D83" s="628">
        <f t="shared" si="6"/>
        <v>1.7707742577520333</v>
      </c>
      <c r="E83" s="628">
        <f t="shared" si="6"/>
        <v>67.027861500445283</v>
      </c>
      <c r="F83" s="628">
        <f t="shared" si="6"/>
        <v>139.03469782409482</v>
      </c>
      <c r="G83" s="628">
        <f t="shared" si="6"/>
        <v>63.217207457292069</v>
      </c>
      <c r="H83" s="629">
        <f t="shared" si="6"/>
        <v>137.26392356634278</v>
      </c>
      <c r="I83" s="633"/>
      <c r="J83" s="633"/>
    </row>
    <row r="84" spans="1:10" ht="15.75" customHeight="1" x14ac:dyDescent="0.2">
      <c r="A84" s="1210"/>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x14ac:dyDescent="0.2">
      <c r="A85" s="1210"/>
      <c r="B85" s="640" t="s">
        <v>131</v>
      </c>
      <c r="C85" s="628">
        <f t="shared" si="6"/>
        <v>10.215275670026225</v>
      </c>
      <c r="D85" s="628">
        <f t="shared" si="6"/>
        <v>81.203568597432692</v>
      </c>
      <c r="E85" s="628">
        <f t="shared" si="6"/>
        <v>14.291385489870727</v>
      </c>
      <c r="F85" s="628">
        <f t="shared" si="6"/>
        <v>99.184430895053609</v>
      </c>
      <c r="G85" s="628">
        <f t="shared" si="6"/>
        <v>4.0761098198445023</v>
      </c>
      <c r="H85" s="629">
        <f t="shared" si="6"/>
        <v>17.980862297620916</v>
      </c>
      <c r="I85" s="633"/>
      <c r="J85" s="633"/>
    </row>
    <row r="86" spans="1:10" ht="15.75" x14ac:dyDescent="0.2">
      <c r="A86" s="1210"/>
      <c r="B86" s="641" t="s">
        <v>132</v>
      </c>
      <c r="C86" s="628">
        <f t="shared" si="6"/>
        <v>0</v>
      </c>
      <c r="D86" s="628">
        <f t="shared" si="6"/>
        <v>0</v>
      </c>
      <c r="E86" s="628">
        <f t="shared" si="6"/>
        <v>0</v>
      </c>
      <c r="F86" s="628">
        <f t="shared" si="6"/>
        <v>0</v>
      </c>
      <c r="G86" s="628">
        <f t="shared" si="6"/>
        <v>0</v>
      </c>
      <c r="H86" s="629">
        <f t="shared" si="6"/>
        <v>0</v>
      </c>
      <c r="I86" s="633"/>
      <c r="J86" s="633"/>
    </row>
    <row r="87" spans="1:10" ht="15.75" x14ac:dyDescent="0.2">
      <c r="A87" s="1210"/>
      <c r="B87" s="641" t="s">
        <v>133</v>
      </c>
      <c r="C87" s="628">
        <f t="shared" si="6"/>
        <v>0</v>
      </c>
      <c r="D87" s="628">
        <f t="shared" si="6"/>
        <v>0</v>
      </c>
      <c r="E87" s="628">
        <f t="shared" si="6"/>
        <v>0</v>
      </c>
      <c r="F87" s="628">
        <f t="shared" si="6"/>
        <v>0</v>
      </c>
      <c r="G87" s="628">
        <f t="shared" si="6"/>
        <v>0</v>
      </c>
      <c r="H87" s="629">
        <f t="shared" si="6"/>
        <v>0</v>
      </c>
      <c r="I87" s="633"/>
      <c r="J87" s="633"/>
    </row>
    <row r="88" spans="1:10" ht="15.75" x14ac:dyDescent="0.2">
      <c r="A88" s="1210"/>
      <c r="B88" s="641" t="s">
        <v>134</v>
      </c>
      <c r="C88" s="628">
        <f t="shared" si="6"/>
        <v>0</v>
      </c>
      <c r="D88" s="628">
        <f t="shared" si="6"/>
        <v>0</v>
      </c>
      <c r="E88" s="628">
        <f t="shared" si="6"/>
        <v>0</v>
      </c>
      <c r="F88" s="628">
        <f t="shared" si="6"/>
        <v>0</v>
      </c>
      <c r="G88" s="628">
        <f t="shared" si="6"/>
        <v>0</v>
      </c>
      <c r="H88" s="629">
        <f t="shared" si="6"/>
        <v>0</v>
      </c>
      <c r="I88" s="633"/>
      <c r="J88" s="633"/>
    </row>
    <row r="89" spans="1:10" ht="15.75" x14ac:dyDescent="0.2">
      <c r="A89" s="1210"/>
      <c r="B89" s="641" t="s">
        <v>135</v>
      </c>
      <c r="C89" s="628">
        <f t="shared" si="6"/>
        <v>0</v>
      </c>
      <c r="D89" s="628">
        <f t="shared" si="6"/>
        <v>0</v>
      </c>
      <c r="E89" s="628">
        <f t="shared" si="6"/>
        <v>0</v>
      </c>
      <c r="F89" s="628">
        <f t="shared" si="6"/>
        <v>0</v>
      </c>
      <c r="G89" s="628">
        <f t="shared" si="6"/>
        <v>0</v>
      </c>
      <c r="H89" s="629">
        <f t="shared" si="6"/>
        <v>0</v>
      </c>
      <c r="I89" s="633"/>
      <c r="J89" s="633"/>
    </row>
    <row r="90" spans="1:10" ht="15.75" x14ac:dyDescent="0.2">
      <c r="A90" s="1210"/>
      <c r="B90" s="641" t="s">
        <v>136</v>
      </c>
      <c r="C90" s="628">
        <f t="shared" si="6"/>
        <v>0</v>
      </c>
      <c r="D90" s="628">
        <f t="shared" si="6"/>
        <v>0</v>
      </c>
      <c r="E90" s="628">
        <f t="shared" si="6"/>
        <v>0</v>
      </c>
      <c r="F90" s="628">
        <f t="shared" si="6"/>
        <v>0</v>
      </c>
      <c r="G90" s="628">
        <f t="shared" si="6"/>
        <v>0</v>
      </c>
      <c r="H90" s="629">
        <f t="shared" si="6"/>
        <v>0</v>
      </c>
      <c r="I90" s="633"/>
      <c r="J90" s="633"/>
    </row>
    <row r="91" spans="1:10" ht="15.95" customHeight="1" x14ac:dyDescent="0.2">
      <c r="A91" s="1210"/>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x14ac:dyDescent="0.25">
      <c r="A92" s="1211"/>
      <c r="B92" s="653" t="s">
        <v>138</v>
      </c>
      <c r="C92" s="630">
        <f t="shared" ref="C92:H92" si="7">C53+C73</f>
        <v>0</v>
      </c>
      <c r="D92" s="630">
        <f t="shared" si="7"/>
        <v>0</v>
      </c>
      <c r="E92" s="630">
        <f t="shared" si="7"/>
        <v>0</v>
      </c>
      <c r="F92" s="630">
        <f t="shared" si="7"/>
        <v>0</v>
      </c>
      <c r="G92" s="630">
        <f t="shared" si="7"/>
        <v>0</v>
      </c>
      <c r="H92" s="631">
        <f t="shared" si="7"/>
        <v>0</v>
      </c>
    </row>
    <row r="93" spans="1:10" ht="37.9" customHeight="1" thickTop="1" thickBot="1" x14ac:dyDescent="0.25">
      <c r="A93" s="1212" t="s">
        <v>157</v>
      </c>
    </row>
    <row r="94" spans="1:10" ht="26.25" thickBot="1" x14ac:dyDescent="0.4">
      <c r="A94" s="1213"/>
      <c r="B94" s="1243" t="s">
        <v>158</v>
      </c>
      <c r="C94" s="1244"/>
      <c r="D94" s="1245"/>
    </row>
    <row r="95" spans="1:10" x14ac:dyDescent="0.2">
      <c r="A95" s="1213"/>
    </row>
    <row r="96" spans="1:10" ht="15" customHeight="1" thickBot="1" x14ac:dyDescent="0.25">
      <c r="A96" s="1213"/>
    </row>
    <row r="97" spans="1:12" ht="18" customHeight="1" thickBot="1" x14ac:dyDescent="0.3">
      <c r="A97" s="1213"/>
      <c r="B97" s="1221" t="s">
        <v>159</v>
      </c>
      <c r="C97" s="1221"/>
      <c r="D97" s="1221"/>
      <c r="E97" s="1221"/>
      <c r="F97" s="1221"/>
      <c r="G97" s="1221"/>
      <c r="H97" s="1221"/>
      <c r="J97" s="1227" t="s">
        <v>160</v>
      </c>
      <c r="K97" s="1228"/>
      <c r="L97" s="1229"/>
    </row>
    <row r="98" spans="1:12" ht="16.149999999999999" customHeight="1" thickBot="1" x14ac:dyDescent="0.25">
      <c r="A98" s="1213"/>
      <c r="B98" s="625"/>
      <c r="C98" s="1204" t="s">
        <v>111</v>
      </c>
      <c r="D98" s="1204"/>
      <c r="E98" s="1204" t="s">
        <v>112</v>
      </c>
      <c r="F98" s="1204"/>
      <c r="G98" s="1204" t="s">
        <v>113</v>
      </c>
      <c r="H98" s="1204"/>
      <c r="J98" s="1230"/>
      <c r="K98" s="1231"/>
      <c r="L98" s="1232"/>
    </row>
    <row r="99" spans="1:12" ht="48" thickBot="1" x14ac:dyDescent="0.25">
      <c r="A99" s="1213"/>
      <c r="B99" s="626" t="s">
        <v>161</v>
      </c>
      <c r="C99" s="625" t="s">
        <v>162</v>
      </c>
      <c r="D99" s="625" t="s">
        <v>116</v>
      </c>
      <c r="E99" s="625" t="s">
        <v>163</v>
      </c>
      <c r="F99" s="625" t="s">
        <v>118</v>
      </c>
      <c r="G99" s="625" t="s">
        <v>164</v>
      </c>
      <c r="H99" s="625" t="s">
        <v>120</v>
      </c>
      <c r="J99" s="1233" t="s">
        <v>121</v>
      </c>
      <c r="K99" s="1235" t="s">
        <v>165</v>
      </c>
      <c r="L99" s="1237" t="s">
        <v>166</v>
      </c>
    </row>
    <row r="100" spans="1:12" ht="31.5" x14ac:dyDescent="0.2">
      <c r="A100" s="1213"/>
      <c r="B100" s="644" t="s">
        <v>167</v>
      </c>
      <c r="C100" s="627">
        <f>'G-2 Habitat groups'!E150</f>
        <v>0</v>
      </c>
      <c r="D100" s="627">
        <f>'G-2 Habitat groups'!F150</f>
        <v>0</v>
      </c>
      <c r="E100" s="627">
        <f ca="1">'G-2 Habitat groups'!O150</f>
        <v>0</v>
      </c>
      <c r="F100" s="627">
        <f ca="1">'G-2 Habitat groups'!P150</f>
        <v>0</v>
      </c>
      <c r="G100" s="627">
        <f ca="1">E100-C100</f>
        <v>0</v>
      </c>
      <c r="H100" s="627">
        <f t="shared" ref="H100:H112" ca="1" si="8">F100-D100</f>
        <v>0</v>
      </c>
      <c r="J100" s="1234"/>
      <c r="K100" s="1236"/>
      <c r="L100" s="1238"/>
    </row>
    <row r="101" spans="1:12" ht="15.75" x14ac:dyDescent="0.2">
      <c r="A101" s="1213"/>
      <c r="B101" s="645" t="s">
        <v>168</v>
      </c>
      <c r="C101" s="627">
        <f>'G-2 Habitat groups'!E151</f>
        <v>7.5730000000000013</v>
      </c>
      <c r="D101" s="627">
        <f>'G-2 Habitat groups'!F151</f>
        <v>126.5946</v>
      </c>
      <c r="E101" s="627">
        <f ca="1">'G-2 Habitat groups'!O151</f>
        <v>15.815800000000003</v>
      </c>
      <c r="F101" s="627">
        <f ca="1">'G-2 Habitat groups'!P151</f>
        <v>246.7764305781964</v>
      </c>
      <c r="G101" s="627">
        <f t="shared" ref="G101:G112" ca="1" si="9">E101-C101</f>
        <v>8.2428000000000026</v>
      </c>
      <c r="H101" s="627">
        <f t="shared" ca="1" si="8"/>
        <v>120.1818305781964</v>
      </c>
      <c r="J101" s="1217" t="str">
        <f>'G-1 All Habitats'!$V$3</f>
        <v>V.High</v>
      </c>
      <c r="K101" s="1219">
        <f>SUMIF('B-1 On-Site Hedge Baseline'!$F$10:$F$257,'Detailed Results'!J101,'B-1 On-Site Hedge Baseline'!$T$10:$T$257)+SUMIF('E-1 Off-Site Hedge Baseline'!$F$10:$F$257,'Detailed Results'!J101,'E-1 Off-Site Hedge Baseline'!$W$10:$W$257)</f>
        <v>0</v>
      </c>
      <c r="L101" s="1224" t="str">
        <f>IF(K101=0,"",(K101/(SUM($K$101:$K$110)))*100)</f>
        <v/>
      </c>
    </row>
    <row r="102" spans="1:12" ht="15.75" x14ac:dyDescent="0.2">
      <c r="A102" s="1213"/>
      <c r="B102" s="645" t="s">
        <v>169</v>
      </c>
      <c r="C102" s="627">
        <f>'G-2 Habitat groups'!E152</f>
        <v>0</v>
      </c>
      <c r="D102" s="627">
        <f>'G-2 Habitat groups'!F152</f>
        <v>0</v>
      </c>
      <c r="E102" s="627">
        <f ca="1">'G-2 Habitat groups'!O152</f>
        <v>0</v>
      </c>
      <c r="F102" s="627">
        <f ca="1">'G-2 Habitat groups'!P152</f>
        <v>0</v>
      </c>
      <c r="G102" s="627">
        <f t="shared" ca="1" si="9"/>
        <v>0</v>
      </c>
      <c r="H102" s="627">
        <f t="shared" ca="1" si="8"/>
        <v>0</v>
      </c>
      <c r="J102" s="1218"/>
      <c r="K102" s="1220"/>
      <c r="L102" s="1225"/>
    </row>
    <row r="103" spans="1:12" ht="15.75" x14ac:dyDescent="0.2">
      <c r="A103" s="1213"/>
      <c r="B103" s="645" t="s">
        <v>170</v>
      </c>
      <c r="C103" s="627">
        <f>'G-2 Habitat groups'!E153</f>
        <v>0</v>
      </c>
      <c r="D103" s="627">
        <f>'G-2 Habitat groups'!F153</f>
        <v>0</v>
      </c>
      <c r="E103" s="627">
        <f ca="1">'G-2 Habitat groups'!O153</f>
        <v>0</v>
      </c>
      <c r="F103" s="627">
        <f ca="1">'G-2 Habitat groups'!P153</f>
        <v>0</v>
      </c>
      <c r="G103" s="627">
        <f t="shared" ca="1" si="9"/>
        <v>0</v>
      </c>
      <c r="H103" s="627">
        <f t="shared" ca="1" si="8"/>
        <v>0</v>
      </c>
      <c r="J103" s="1217" t="str">
        <f>'G-1 All Habitats'!$V$4</f>
        <v>High</v>
      </c>
      <c r="K103" s="1219">
        <f>SUMIF('B-1 On-Site Hedge Baseline'!$F$10:$F$257,'Detailed Results'!J103,'B-1 On-Site Hedge Baseline'!$T$10:$T$257)+SUMIF('E-1 Off-Site Hedge Baseline'!$F$10:$F$257,'Detailed Results'!J103,'E-1 Off-Site Hedge Baseline'!$W$10:$W$257)</f>
        <v>6.6099999999999992E-2</v>
      </c>
      <c r="L103" s="1224">
        <f>IF(K103=0,"",(K103/(SUM($K$101:$K$110)))*100)</f>
        <v>10.598043931377262</v>
      </c>
    </row>
    <row r="104" spans="1:12" ht="15.75" x14ac:dyDescent="0.2">
      <c r="A104" s="1213"/>
      <c r="B104" s="645" t="s">
        <v>171</v>
      </c>
      <c r="C104" s="627">
        <f>'G-2 Habitat groups'!E154</f>
        <v>21.854100000000006</v>
      </c>
      <c r="D104" s="627">
        <f>'G-2 Habitat groups'!F154</f>
        <v>229.59757999999999</v>
      </c>
      <c r="E104" s="627">
        <f ca="1">'G-2 Habitat groups'!O154</f>
        <v>55.313381653939913</v>
      </c>
      <c r="F104" s="627">
        <f ca="1">'G-2 Habitat groups'!P154</f>
        <v>499.93674916651264</v>
      </c>
      <c r="G104" s="627">
        <f t="shared" ca="1" si="9"/>
        <v>33.459281653939911</v>
      </c>
      <c r="H104" s="627">
        <f t="shared" ca="1" si="8"/>
        <v>270.33916916651265</v>
      </c>
      <c r="J104" s="1218"/>
      <c r="K104" s="1220"/>
      <c r="L104" s="1225"/>
    </row>
    <row r="105" spans="1:12" ht="15.75" x14ac:dyDescent="0.2">
      <c r="A105" s="1213"/>
      <c r="B105" s="645" t="s">
        <v>172</v>
      </c>
      <c r="C105" s="627">
        <f>'G-2 Habitat groups'!E155</f>
        <v>0</v>
      </c>
      <c r="D105" s="627">
        <f>'G-2 Habitat groups'!F155</f>
        <v>0</v>
      </c>
      <c r="E105" s="627">
        <f ca="1">'G-2 Habitat groups'!O155</f>
        <v>0</v>
      </c>
      <c r="F105" s="627">
        <f ca="1">'G-2 Habitat groups'!P155</f>
        <v>0</v>
      </c>
      <c r="G105" s="627">
        <f t="shared" ca="1" si="9"/>
        <v>0</v>
      </c>
      <c r="H105" s="627">
        <f t="shared" ca="1" si="8"/>
        <v>0</v>
      </c>
      <c r="J105" s="1217" t="str">
        <f>'G-1 All Habitats'!$V$5</f>
        <v>Medium</v>
      </c>
      <c r="K105" s="1219">
        <f>SUMIF('B-1 On-Site Hedge Baseline'!$F$10:$F$257,'Detailed Results'!J105,'B-1 On-Site Hedge Baseline'!$T$10:$T$257)+SUMIF('E-1 Off-Site Hedge Baseline'!$F$10:$F$257,'Detailed Results'!J105,'E-1 Off-Site Hedge Baseline'!$W$10:$W$257)</f>
        <v>0.22420000000000029</v>
      </c>
      <c r="L105" s="1224">
        <f>IF(K105=0,"",(K105/(SUM($K$101:$K$110)))*100)</f>
        <v>35.94676928010265</v>
      </c>
    </row>
    <row r="106" spans="1:12" ht="15.75" x14ac:dyDescent="0.2">
      <c r="A106" s="1213"/>
      <c r="B106" s="645" t="s">
        <v>173</v>
      </c>
      <c r="C106" s="627">
        <f>'G-2 Habitat groups'!E156</f>
        <v>6.6764000000000001</v>
      </c>
      <c r="D106" s="627">
        <f>'G-2 Habitat groups'!F156</f>
        <v>51.797140000000006</v>
      </c>
      <c r="E106" s="627">
        <f ca="1">'G-2 Habitat groups'!O156</f>
        <v>5.0471000000000004</v>
      </c>
      <c r="F106" s="627">
        <f ca="1">'G-2 Habitat groups'!P156</f>
        <v>40.753312568544558</v>
      </c>
      <c r="G106" s="627">
        <f t="shared" ca="1" si="9"/>
        <v>-1.6292999999999997</v>
      </c>
      <c r="H106" s="627">
        <f t="shared" ca="1" si="8"/>
        <v>-11.043827431455448</v>
      </c>
      <c r="J106" s="1218"/>
      <c r="K106" s="1220"/>
      <c r="L106" s="1225"/>
    </row>
    <row r="107" spans="1:12" ht="15.75" x14ac:dyDescent="0.2">
      <c r="A107" s="1213"/>
      <c r="B107" s="646" t="s">
        <v>174</v>
      </c>
      <c r="C107" s="627">
        <f>'G-2 Habitat groups'!E157</f>
        <v>0</v>
      </c>
      <c r="D107" s="627">
        <f>'G-2 Habitat groups'!F157</f>
        <v>0</v>
      </c>
      <c r="E107" s="627">
        <f ca="1">'G-2 Habitat groups'!O157</f>
        <v>0</v>
      </c>
      <c r="F107" s="627">
        <f ca="1">'G-2 Habitat groups'!P157</f>
        <v>0</v>
      </c>
      <c r="G107" s="627">
        <f t="shared" ca="1" si="9"/>
        <v>0</v>
      </c>
      <c r="H107" s="627">
        <f t="shared" ca="1" si="8"/>
        <v>0</v>
      </c>
      <c r="J107" s="1217" t="str">
        <f>'G-1 All Habitats'!$V$6</f>
        <v>Low</v>
      </c>
      <c r="K107" s="1219">
        <f>SUMIF('B-1 On-Site Hedge Baseline'!$F$10:$F$257,'Detailed Results'!J107,'B-1 On-Site Hedge Baseline'!$T$10:$T$257)+SUMIF('E-1 Off-Site Hedge Baseline'!$F$10:$F$257,'Detailed Results'!J107,'E-1 Off-Site Hedge Baseline'!$W$10:$W$257)</f>
        <v>0.33339999999999981</v>
      </c>
      <c r="L107" s="1224">
        <f>IF(K107=0,"",(K107/(SUM($K$101:$K$110)))*100)</f>
        <v>53.455186788520081</v>
      </c>
    </row>
    <row r="108" spans="1:12" ht="15.75" x14ac:dyDescent="0.2">
      <c r="A108" s="1213"/>
      <c r="B108" s="647" t="s">
        <v>175</v>
      </c>
      <c r="C108" s="627">
        <f>'G-2 Habitat groups'!E158</f>
        <v>0</v>
      </c>
      <c r="D108" s="627">
        <f>'G-2 Habitat groups'!F158</f>
        <v>0</v>
      </c>
      <c r="E108" s="627">
        <f ca="1">'G-2 Habitat groups'!O158</f>
        <v>0</v>
      </c>
      <c r="F108" s="627">
        <f ca="1">'G-2 Habitat groups'!P158</f>
        <v>0</v>
      </c>
      <c r="G108" s="627">
        <f t="shared" ca="1" si="9"/>
        <v>0</v>
      </c>
      <c r="H108" s="627">
        <f t="shared" ca="1" si="8"/>
        <v>0</v>
      </c>
      <c r="J108" s="1218"/>
      <c r="K108" s="1220"/>
      <c r="L108" s="1225"/>
    </row>
    <row r="109" spans="1:12" ht="15.75" x14ac:dyDescent="0.2">
      <c r="A109" s="1213"/>
      <c r="B109" s="647" t="s">
        <v>176</v>
      </c>
      <c r="C109" s="627">
        <f>'G-2 Habitat groups'!E159</f>
        <v>31.781100000000016</v>
      </c>
      <c r="D109" s="627">
        <f>'G-2 Habitat groups'!F159</f>
        <v>153.30670999999998</v>
      </c>
      <c r="E109" s="627">
        <f ca="1">'G-2 Habitat groups'!O159</f>
        <v>21.62240000000001</v>
      </c>
      <c r="F109" s="627">
        <f ca="1">'G-2 Habitat groups'!P159</f>
        <v>106.02264000000008</v>
      </c>
      <c r="G109" s="627">
        <f t="shared" ca="1" si="9"/>
        <v>-10.158700000000007</v>
      </c>
      <c r="H109" s="627">
        <f t="shared" ca="1" si="8"/>
        <v>-47.2840699999999</v>
      </c>
      <c r="J109" s="1217" t="str">
        <f>'G-1 All Habitats'!$V$7</f>
        <v>V.Low</v>
      </c>
      <c r="K109" s="1219">
        <f>SUMIF('B-1 On-Site Hedge Baseline'!$F$10:$F$257,'Detailed Results'!J109,'B-1 On-Site Hedge Baseline'!$T$10:$T$257)+SUMIF('E-1 Off-Site Hedge Baseline'!$F$10:$F$257,'Detailed Results'!J109,'E-1 Off-Site Hedge Baseline'!$W$10:$W$257)</f>
        <v>0</v>
      </c>
      <c r="L109" s="1224" t="str">
        <f>IF(K109=0,"",(K109/(SUM($K$101:$K$110)))*100)</f>
        <v/>
      </c>
    </row>
    <row r="110" spans="1:12" ht="16.5" thickBot="1" x14ac:dyDescent="0.25">
      <c r="A110" s="1213"/>
      <c r="B110" s="647" t="s">
        <v>177</v>
      </c>
      <c r="C110" s="627">
        <f>'G-2 Habitat groups'!E160</f>
        <v>0</v>
      </c>
      <c r="D110" s="627">
        <f>'G-2 Habitat groups'!F160</f>
        <v>0</v>
      </c>
      <c r="E110" s="627">
        <f ca="1">'G-2 Habitat groups'!O160</f>
        <v>0</v>
      </c>
      <c r="F110" s="627">
        <f ca="1">'G-2 Habitat groups'!P160</f>
        <v>0</v>
      </c>
      <c r="G110" s="627">
        <f t="shared" ca="1" si="9"/>
        <v>0</v>
      </c>
      <c r="H110" s="627">
        <f t="shared" ca="1" si="8"/>
        <v>0</v>
      </c>
      <c r="J110" s="1222"/>
      <c r="K110" s="1223"/>
      <c r="L110" s="1226"/>
    </row>
    <row r="111" spans="1:12" ht="15.75" x14ac:dyDescent="0.2">
      <c r="A111" s="1213"/>
      <c r="B111" s="647" t="s">
        <v>178</v>
      </c>
      <c r="C111" s="627">
        <f>'G-2 Habitat groups'!E161</f>
        <v>0</v>
      </c>
      <c r="D111" s="627">
        <f>'G-2 Habitat groups'!F161</f>
        <v>0</v>
      </c>
      <c r="E111" s="627">
        <f ca="1">'G-2 Habitat groups'!O161</f>
        <v>0</v>
      </c>
      <c r="F111" s="627">
        <f ca="1">'G-2 Habitat groups'!P161</f>
        <v>0</v>
      </c>
      <c r="G111" s="627">
        <f t="shared" ca="1" si="9"/>
        <v>0</v>
      </c>
      <c r="H111" s="627">
        <f t="shared" ca="1" si="8"/>
        <v>0</v>
      </c>
    </row>
    <row r="112" spans="1:12" ht="15.75" x14ac:dyDescent="0.2">
      <c r="A112" s="1213"/>
      <c r="B112" s="647" t="s">
        <v>179</v>
      </c>
      <c r="C112" s="627">
        <f>'G-2 Habitat groups'!E162</f>
        <v>0</v>
      </c>
      <c r="D112" s="627">
        <f>'G-2 Habitat groups'!F162</f>
        <v>0</v>
      </c>
      <c r="E112" s="627">
        <f ca="1">'G-2 Habitat groups'!O162</f>
        <v>0</v>
      </c>
      <c r="F112" s="627">
        <f ca="1">'G-2 Habitat groups'!P162</f>
        <v>0</v>
      </c>
      <c r="G112" s="627">
        <f t="shared" ca="1" si="9"/>
        <v>0</v>
      </c>
      <c r="H112" s="627">
        <f t="shared" ca="1" si="8"/>
        <v>0</v>
      </c>
    </row>
    <row r="113" spans="1:8" x14ac:dyDescent="0.2">
      <c r="A113" s="1213"/>
    </row>
    <row r="114" spans="1:8" x14ac:dyDescent="0.2">
      <c r="A114" s="1213"/>
    </row>
    <row r="115" spans="1:8" x14ac:dyDescent="0.2">
      <c r="A115" s="1213"/>
    </row>
    <row r="116" spans="1:8" ht="15" thickBot="1" x14ac:dyDescent="0.25">
      <c r="A116" s="1213"/>
    </row>
    <row r="117" spans="1:8" ht="18.75" thickBot="1" x14ac:dyDescent="0.3">
      <c r="A117" s="1213"/>
      <c r="B117" s="1221" t="s">
        <v>180</v>
      </c>
      <c r="C117" s="1221"/>
      <c r="D117" s="1221"/>
      <c r="E117" s="1221"/>
      <c r="F117" s="1221"/>
      <c r="G117" s="1221"/>
      <c r="H117" s="1221"/>
    </row>
    <row r="118" spans="1:8" ht="16.5" thickBot="1" x14ac:dyDescent="0.25">
      <c r="A118" s="1213"/>
      <c r="B118" s="625"/>
      <c r="C118" s="1204" t="s">
        <v>80</v>
      </c>
      <c r="D118" s="1204"/>
      <c r="E118" s="1204" t="s">
        <v>140</v>
      </c>
      <c r="F118" s="1204"/>
      <c r="G118" s="1204" t="s">
        <v>141</v>
      </c>
      <c r="H118" s="1204"/>
    </row>
    <row r="119" spans="1:8" ht="48" thickBot="1" x14ac:dyDescent="0.25">
      <c r="A119" s="1213"/>
      <c r="B119" s="626" t="s">
        <v>161</v>
      </c>
      <c r="C119" s="625" t="s">
        <v>181</v>
      </c>
      <c r="D119" s="625" t="s">
        <v>143</v>
      </c>
      <c r="E119" s="625" t="s">
        <v>182</v>
      </c>
      <c r="F119" s="625" t="s">
        <v>145</v>
      </c>
      <c r="G119" s="625" t="s">
        <v>183</v>
      </c>
      <c r="H119" s="625" t="s">
        <v>147</v>
      </c>
    </row>
    <row r="120" spans="1:8" ht="31.5" x14ac:dyDescent="0.2">
      <c r="A120" s="1213"/>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x14ac:dyDescent="0.2">
      <c r="A121" s="1213"/>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x14ac:dyDescent="0.2">
      <c r="A122" s="1213"/>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x14ac:dyDescent="0.2">
      <c r="A123" s="1213"/>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x14ac:dyDescent="0.2">
      <c r="A124" s="1213"/>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x14ac:dyDescent="0.2">
      <c r="A125" s="1213"/>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x14ac:dyDescent="0.2">
      <c r="A126" s="1213"/>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x14ac:dyDescent="0.2">
      <c r="A127" s="1213"/>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x14ac:dyDescent="0.2">
      <c r="A128" s="1213"/>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x14ac:dyDescent="0.2">
      <c r="A129" s="1213"/>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x14ac:dyDescent="0.2">
      <c r="A130" s="1213"/>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x14ac:dyDescent="0.2">
      <c r="A131" s="1213"/>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x14ac:dyDescent="0.2">
      <c r="A132" s="1213"/>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x14ac:dyDescent="0.2">
      <c r="A133" s="1213"/>
      <c r="B133" s="633"/>
      <c r="C133" s="633"/>
    </row>
    <row r="134" spans="1:8" x14ac:dyDescent="0.2">
      <c r="A134" s="1213"/>
      <c r="B134" s="633"/>
      <c r="C134" s="633"/>
    </row>
    <row r="135" spans="1:8" x14ac:dyDescent="0.2">
      <c r="A135" s="1213"/>
      <c r="B135" s="633"/>
      <c r="C135" s="633"/>
    </row>
    <row r="136" spans="1:8" ht="15" thickBot="1" x14ac:dyDescent="0.25">
      <c r="A136" s="1213"/>
      <c r="B136" s="633"/>
      <c r="C136" s="633"/>
    </row>
    <row r="137" spans="1:8" ht="18.75" thickBot="1" x14ac:dyDescent="0.3">
      <c r="A137" s="1213"/>
      <c r="B137" s="1221" t="s">
        <v>184</v>
      </c>
      <c r="C137" s="1221"/>
      <c r="D137" s="1221"/>
      <c r="E137" s="1221"/>
      <c r="F137" s="1221"/>
      <c r="G137" s="1221"/>
      <c r="H137" s="1221"/>
    </row>
    <row r="138" spans="1:8" ht="16.5" thickBot="1" x14ac:dyDescent="0.25">
      <c r="A138" s="1213"/>
      <c r="B138" s="625"/>
      <c r="C138" s="1204" t="s">
        <v>111</v>
      </c>
      <c r="D138" s="1204"/>
      <c r="E138" s="1204" t="s">
        <v>185</v>
      </c>
      <c r="F138" s="1204"/>
      <c r="G138" s="1204" t="s">
        <v>186</v>
      </c>
      <c r="H138" s="1204"/>
    </row>
    <row r="139" spans="1:8" ht="48" thickBot="1" x14ac:dyDescent="0.25">
      <c r="A139" s="1213"/>
      <c r="B139" s="626" t="s">
        <v>161</v>
      </c>
      <c r="C139" s="625" t="s">
        <v>206</v>
      </c>
      <c r="D139" s="625" t="s">
        <v>152</v>
      </c>
      <c r="E139" s="625" t="s">
        <v>187</v>
      </c>
      <c r="F139" s="625" t="s">
        <v>154</v>
      </c>
      <c r="G139" s="625" t="s">
        <v>188</v>
      </c>
      <c r="H139" s="625" t="s">
        <v>156</v>
      </c>
    </row>
    <row r="140" spans="1:8" ht="31.5" x14ac:dyDescent="0.2">
      <c r="A140" s="1213"/>
      <c r="B140" s="644" t="s">
        <v>167</v>
      </c>
      <c r="C140" s="628">
        <f t="shared" ref="C140:H140" si="12">C100+C120</f>
        <v>0</v>
      </c>
      <c r="D140" s="628">
        <f t="shared" si="12"/>
        <v>0</v>
      </c>
      <c r="E140" s="628">
        <f t="shared" ca="1" si="12"/>
        <v>0</v>
      </c>
      <c r="F140" s="628">
        <f t="shared" ca="1" si="12"/>
        <v>0</v>
      </c>
      <c r="G140" s="628">
        <f t="shared" ca="1" si="12"/>
        <v>0</v>
      </c>
      <c r="H140" s="628">
        <f t="shared" ca="1" si="12"/>
        <v>0</v>
      </c>
    </row>
    <row r="141" spans="1:8" ht="15.75" x14ac:dyDescent="0.2">
      <c r="A141" s="1213"/>
      <c r="B141" s="645" t="s">
        <v>168</v>
      </c>
      <c r="C141" s="628">
        <f t="shared" ref="C141:H141" si="13">C101+C121</f>
        <v>7.5730000000000013</v>
      </c>
      <c r="D141" s="628">
        <f t="shared" si="13"/>
        <v>126.5946</v>
      </c>
      <c r="E141" s="628">
        <f t="shared" ca="1" si="13"/>
        <v>15.815800000000003</v>
      </c>
      <c r="F141" s="628">
        <f t="shared" ca="1" si="13"/>
        <v>246.7764305781964</v>
      </c>
      <c r="G141" s="628">
        <f t="shared" ca="1" si="13"/>
        <v>8.2428000000000026</v>
      </c>
      <c r="H141" s="628">
        <f t="shared" ca="1" si="13"/>
        <v>120.1818305781964</v>
      </c>
    </row>
    <row r="142" spans="1:8" ht="15.75" x14ac:dyDescent="0.2">
      <c r="A142" s="1213"/>
      <c r="B142" s="645" t="s">
        <v>169</v>
      </c>
      <c r="C142" s="628">
        <f t="shared" ref="C142:H142" si="14">C102+C122</f>
        <v>0</v>
      </c>
      <c r="D142" s="628">
        <f t="shared" si="14"/>
        <v>0</v>
      </c>
      <c r="E142" s="628">
        <f t="shared" ca="1" si="14"/>
        <v>0</v>
      </c>
      <c r="F142" s="628">
        <f t="shared" ca="1" si="14"/>
        <v>0</v>
      </c>
      <c r="G142" s="628">
        <f t="shared" ca="1" si="14"/>
        <v>0</v>
      </c>
      <c r="H142" s="628">
        <f t="shared" ca="1" si="14"/>
        <v>0</v>
      </c>
    </row>
    <row r="143" spans="1:8" ht="15.75" x14ac:dyDescent="0.2">
      <c r="A143" s="1213"/>
      <c r="B143" s="645" t="s">
        <v>170</v>
      </c>
      <c r="C143" s="628">
        <f t="shared" ref="C143:H143" si="15">C103+C123</f>
        <v>0</v>
      </c>
      <c r="D143" s="628">
        <f t="shared" si="15"/>
        <v>0</v>
      </c>
      <c r="E143" s="628">
        <f t="shared" ca="1" si="15"/>
        <v>0</v>
      </c>
      <c r="F143" s="628">
        <f t="shared" ca="1" si="15"/>
        <v>0</v>
      </c>
      <c r="G143" s="628">
        <f t="shared" ca="1" si="15"/>
        <v>0</v>
      </c>
      <c r="H143" s="628">
        <f t="shared" ca="1" si="15"/>
        <v>0</v>
      </c>
    </row>
    <row r="144" spans="1:8" ht="15.75" x14ac:dyDescent="0.2">
      <c r="A144" s="1213"/>
      <c r="B144" s="645" t="s">
        <v>171</v>
      </c>
      <c r="C144" s="628">
        <f t="shared" ref="C144:H144" si="16">C104+C124</f>
        <v>21.854100000000006</v>
      </c>
      <c r="D144" s="628">
        <f t="shared" si="16"/>
        <v>229.59757999999999</v>
      </c>
      <c r="E144" s="628">
        <f t="shared" ca="1" si="16"/>
        <v>55.313381653939913</v>
      </c>
      <c r="F144" s="628">
        <f t="shared" ca="1" si="16"/>
        <v>499.93674916651264</v>
      </c>
      <c r="G144" s="628">
        <f t="shared" ca="1" si="16"/>
        <v>33.459281653939911</v>
      </c>
      <c r="H144" s="628">
        <f t="shared" ca="1" si="16"/>
        <v>270.33916916651265</v>
      </c>
    </row>
    <row r="145" spans="1:12" ht="15.75" x14ac:dyDescent="0.2">
      <c r="A145" s="1213"/>
      <c r="B145" s="645" t="s">
        <v>172</v>
      </c>
      <c r="C145" s="628">
        <f t="shared" ref="C145:H145" si="17">C105+C125</f>
        <v>0</v>
      </c>
      <c r="D145" s="628">
        <f t="shared" si="17"/>
        <v>0</v>
      </c>
      <c r="E145" s="628">
        <f t="shared" ca="1" si="17"/>
        <v>0</v>
      </c>
      <c r="F145" s="628">
        <f t="shared" ca="1" si="17"/>
        <v>0</v>
      </c>
      <c r="G145" s="628">
        <f t="shared" ca="1" si="17"/>
        <v>0</v>
      </c>
      <c r="H145" s="628">
        <f t="shared" ca="1" si="17"/>
        <v>0</v>
      </c>
    </row>
    <row r="146" spans="1:12" ht="15.75" x14ac:dyDescent="0.2">
      <c r="A146" s="1213"/>
      <c r="B146" s="645" t="s">
        <v>173</v>
      </c>
      <c r="C146" s="628">
        <f t="shared" ref="C146:H146" si="18">C106+C126</f>
        <v>6.6764000000000001</v>
      </c>
      <c r="D146" s="628">
        <f t="shared" si="18"/>
        <v>51.797140000000006</v>
      </c>
      <c r="E146" s="628">
        <f t="shared" ca="1" si="18"/>
        <v>5.0471000000000004</v>
      </c>
      <c r="F146" s="628">
        <f t="shared" ca="1" si="18"/>
        <v>40.753312568544558</v>
      </c>
      <c r="G146" s="628">
        <f t="shared" ca="1" si="18"/>
        <v>-1.6292999999999997</v>
      </c>
      <c r="H146" s="628">
        <f t="shared" ca="1" si="18"/>
        <v>-11.043827431455448</v>
      </c>
    </row>
    <row r="147" spans="1:12" ht="15.75" x14ac:dyDescent="0.2">
      <c r="A147" s="1213"/>
      <c r="B147" s="646" t="s">
        <v>174</v>
      </c>
      <c r="C147" s="628">
        <f t="shared" ref="C147:H147" si="19">C107+C127</f>
        <v>0</v>
      </c>
      <c r="D147" s="628">
        <f t="shared" si="19"/>
        <v>0</v>
      </c>
      <c r="E147" s="628">
        <f t="shared" ca="1" si="19"/>
        <v>0</v>
      </c>
      <c r="F147" s="628">
        <f t="shared" ca="1" si="19"/>
        <v>0</v>
      </c>
      <c r="G147" s="628">
        <f t="shared" ca="1" si="19"/>
        <v>0</v>
      </c>
      <c r="H147" s="628">
        <f t="shared" ca="1" si="19"/>
        <v>0</v>
      </c>
    </row>
    <row r="148" spans="1:12" ht="15.75" x14ac:dyDescent="0.2">
      <c r="A148" s="1213"/>
      <c r="B148" s="647" t="s">
        <v>175</v>
      </c>
      <c r="C148" s="628">
        <f t="shared" ref="C148:H148" si="20">C108+C128</f>
        <v>0</v>
      </c>
      <c r="D148" s="628">
        <f t="shared" si="20"/>
        <v>0</v>
      </c>
      <c r="E148" s="628">
        <f t="shared" ca="1" si="20"/>
        <v>0</v>
      </c>
      <c r="F148" s="628">
        <f t="shared" ca="1" si="20"/>
        <v>0</v>
      </c>
      <c r="G148" s="628">
        <f t="shared" ca="1" si="20"/>
        <v>0</v>
      </c>
      <c r="H148" s="628">
        <f t="shared" ca="1" si="20"/>
        <v>0</v>
      </c>
    </row>
    <row r="149" spans="1:12" ht="15.75" x14ac:dyDescent="0.2">
      <c r="A149" s="1213"/>
      <c r="B149" s="647" t="s">
        <v>176</v>
      </c>
      <c r="C149" s="628">
        <f t="shared" ref="C149:H149" si="21">C109+C129</f>
        <v>31.781100000000016</v>
      </c>
      <c r="D149" s="628">
        <f t="shared" si="21"/>
        <v>153.30670999999998</v>
      </c>
      <c r="E149" s="628">
        <f t="shared" ca="1" si="21"/>
        <v>21.62240000000001</v>
      </c>
      <c r="F149" s="628">
        <f t="shared" ca="1" si="21"/>
        <v>106.02264000000008</v>
      </c>
      <c r="G149" s="628">
        <f t="shared" ca="1" si="21"/>
        <v>-10.158700000000007</v>
      </c>
      <c r="H149" s="628">
        <f t="shared" ca="1" si="21"/>
        <v>-47.2840699999999</v>
      </c>
    </row>
    <row r="150" spans="1:12" ht="15.75" x14ac:dyDescent="0.2">
      <c r="A150" s="1213"/>
      <c r="B150" s="647" t="s">
        <v>177</v>
      </c>
      <c r="C150" s="628">
        <f t="shared" ref="C150:H150" si="22">C110+C130</f>
        <v>0</v>
      </c>
      <c r="D150" s="628">
        <f t="shared" si="22"/>
        <v>0</v>
      </c>
      <c r="E150" s="628">
        <f t="shared" ca="1" si="22"/>
        <v>0</v>
      </c>
      <c r="F150" s="628">
        <f t="shared" ca="1" si="22"/>
        <v>0</v>
      </c>
      <c r="G150" s="628">
        <f t="shared" ca="1" si="22"/>
        <v>0</v>
      </c>
      <c r="H150" s="628">
        <f t="shared" ca="1" si="22"/>
        <v>0</v>
      </c>
    </row>
    <row r="151" spans="1:12" ht="15.75" x14ac:dyDescent="0.2">
      <c r="A151" s="1213"/>
      <c r="B151" s="647" t="s">
        <v>178</v>
      </c>
      <c r="C151" s="628">
        <f t="shared" ref="C151:H151" si="23">C111+C131</f>
        <v>0</v>
      </c>
      <c r="D151" s="628">
        <f t="shared" si="23"/>
        <v>0</v>
      </c>
      <c r="E151" s="628">
        <f t="shared" ca="1" si="23"/>
        <v>0</v>
      </c>
      <c r="F151" s="628">
        <f t="shared" ca="1" si="23"/>
        <v>0</v>
      </c>
      <c r="G151" s="628">
        <f t="shared" ca="1" si="23"/>
        <v>0</v>
      </c>
      <c r="H151" s="628">
        <f t="shared" ca="1" si="23"/>
        <v>0</v>
      </c>
    </row>
    <row r="152" spans="1:12" ht="15.75" x14ac:dyDescent="0.2">
      <c r="A152" s="1213"/>
      <c r="B152" s="647" t="s">
        <v>179</v>
      </c>
      <c r="C152" s="628">
        <f t="shared" ref="C152:H152" si="24">C112+C132</f>
        <v>0</v>
      </c>
      <c r="D152" s="628">
        <f t="shared" si="24"/>
        <v>0</v>
      </c>
      <c r="E152" s="628">
        <f t="shared" ca="1" si="24"/>
        <v>0</v>
      </c>
      <c r="F152" s="628">
        <f t="shared" ca="1" si="24"/>
        <v>0</v>
      </c>
      <c r="G152" s="628">
        <f t="shared" ca="1" si="24"/>
        <v>0</v>
      </c>
      <c r="H152" s="628">
        <f t="shared" ca="1" si="24"/>
        <v>0</v>
      </c>
    </row>
    <row r="153" spans="1:12" x14ac:dyDescent="0.2">
      <c r="A153" s="1213"/>
    </row>
    <row r="154" spans="1:12" ht="15" thickBot="1" x14ac:dyDescent="0.25">
      <c r="A154" s="1214"/>
    </row>
    <row r="155" spans="1:12" s="622" customFormat="1" ht="31.9" customHeight="1" thickTop="1" x14ac:dyDescent="0.2">
      <c r="A155" s="1215" t="s">
        <v>189</v>
      </c>
    </row>
    <row r="156" spans="1:12" ht="15" thickBot="1" x14ac:dyDescent="0.25">
      <c r="A156" s="1216"/>
    </row>
    <row r="157" spans="1:12" ht="26.25" thickBot="1" x14ac:dyDescent="0.4">
      <c r="A157" s="1216"/>
      <c r="B157" s="1243" t="s">
        <v>59</v>
      </c>
      <c r="C157" s="1244"/>
      <c r="D157" s="1245"/>
    </row>
    <row r="158" spans="1:12" x14ac:dyDescent="0.2">
      <c r="A158" s="1216"/>
    </row>
    <row r="159" spans="1:12" ht="15" thickBot="1" x14ac:dyDescent="0.25">
      <c r="A159" s="1216"/>
    </row>
    <row r="160" spans="1:12" ht="18.75" thickBot="1" x14ac:dyDescent="0.3">
      <c r="A160" s="1216"/>
      <c r="B160" s="1221" t="s">
        <v>190</v>
      </c>
      <c r="C160" s="1221"/>
      <c r="D160" s="1221"/>
      <c r="E160" s="1221"/>
      <c r="F160" s="1221"/>
      <c r="G160" s="1221"/>
      <c r="H160" s="1221"/>
      <c r="J160" s="1227" t="s">
        <v>160</v>
      </c>
      <c r="K160" s="1228"/>
      <c r="L160" s="1229"/>
    </row>
    <row r="161" spans="1:12" ht="16.5" thickBot="1" x14ac:dyDescent="0.25">
      <c r="A161" s="1216"/>
      <c r="B161" s="625"/>
      <c r="C161" s="1204" t="s">
        <v>111</v>
      </c>
      <c r="D161" s="1204"/>
      <c r="E161" s="1204" t="s">
        <v>191</v>
      </c>
      <c r="F161" s="1204"/>
      <c r="G161" s="1204" t="s">
        <v>192</v>
      </c>
      <c r="H161" s="1204"/>
      <c r="J161" s="1230"/>
      <c r="K161" s="1231"/>
      <c r="L161" s="1232"/>
    </row>
    <row r="162" spans="1:12" ht="48" thickBot="1" x14ac:dyDescent="0.25">
      <c r="A162" s="1216"/>
      <c r="B162" s="626" t="s">
        <v>193</v>
      </c>
      <c r="C162" s="625" t="s">
        <v>194</v>
      </c>
      <c r="D162" s="625" t="s">
        <v>116</v>
      </c>
      <c r="E162" s="625" t="s">
        <v>195</v>
      </c>
      <c r="F162" s="625" t="s">
        <v>118</v>
      </c>
      <c r="G162" s="625" t="s">
        <v>164</v>
      </c>
      <c r="H162" s="625" t="s">
        <v>120</v>
      </c>
      <c r="J162" s="1233" t="s">
        <v>121</v>
      </c>
      <c r="K162" s="1235" t="s">
        <v>165</v>
      </c>
      <c r="L162" s="1237" t="s">
        <v>166</v>
      </c>
    </row>
    <row r="163" spans="1:12" ht="15.75" x14ac:dyDescent="0.2">
      <c r="A163" s="1216"/>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4"/>
      <c r="K163" s="1236"/>
      <c r="L163" s="1238"/>
    </row>
    <row r="164" spans="1:12" ht="15.75" x14ac:dyDescent="0.2">
      <c r="A164" s="1216"/>
      <c r="B164" s="645" t="s">
        <v>197</v>
      </c>
      <c r="C164" s="648">
        <f>'G-2 Habitat groups'!E173</f>
        <v>5.5524086075033221</v>
      </c>
      <c r="D164" s="648">
        <f>'G-2 Habitat groups'!F173</f>
        <v>57.248335704889655</v>
      </c>
      <c r="E164" s="648">
        <f>'G-2 Habitat groups'!O173</f>
        <v>5.5524086075033221</v>
      </c>
      <c r="F164" s="648">
        <f>'G-2 Habitat groups'!P173</f>
        <v>74.441658662955717</v>
      </c>
      <c r="G164" s="648">
        <f t="shared" si="25"/>
        <v>0</v>
      </c>
      <c r="H164" s="648">
        <f t="shared" si="25"/>
        <v>17.193322958066062</v>
      </c>
      <c r="J164" s="1217" t="str">
        <f>'G-1 All Habitats'!$V$3</f>
        <v>V.High</v>
      </c>
      <c r="K164" s="1219">
        <f>SUMIF('C-1 On-Site WaterC'' Baseline'!$F$10:$F$257,'Detailed Results'!J164,'C-1 On-Site WaterC'' Baseline'!$X$10:$X$257)+SUMIF('F-1 Off-Site WaterC'' Baseline'!$F$10:$F$257,'Detailed Results'!J164,'F-1 Off-Site WaterC'' Baseline'!$AA$10:$AA$257)</f>
        <v>0</v>
      </c>
      <c r="L164" s="1224" t="str">
        <f>IF(K164=0,"",(K164/(SUM($K$164:$K$171)))*100)</f>
        <v/>
      </c>
    </row>
    <row r="165" spans="1:12" ht="15.75" x14ac:dyDescent="0.2">
      <c r="A165" s="1216"/>
      <c r="B165" s="645" t="s">
        <v>198</v>
      </c>
      <c r="C165" s="648">
        <f>'G-2 Habitat groups'!E174</f>
        <v>31.179001572687749</v>
      </c>
      <c r="D165" s="648">
        <f>'G-2 Habitat groups'!F174</f>
        <v>101.14873307916766</v>
      </c>
      <c r="E165" s="648">
        <f>'G-2 Habitat groups'!O174</f>
        <v>31.179001572687746</v>
      </c>
      <c r="F165" s="648">
        <f>'G-2 Habitat groups'!P174</f>
        <v>127.90173948426539</v>
      </c>
      <c r="G165" s="648">
        <f t="shared" si="25"/>
        <v>0</v>
      </c>
      <c r="H165" s="648">
        <f t="shared" si="25"/>
        <v>26.753006405097736</v>
      </c>
      <c r="J165" s="1218"/>
      <c r="K165" s="1220"/>
      <c r="L165" s="1225"/>
    </row>
    <row r="166" spans="1:12" ht="15.75" x14ac:dyDescent="0.2">
      <c r="A166" s="1216"/>
      <c r="B166" s="645" t="s">
        <v>199</v>
      </c>
      <c r="C166" s="648">
        <f>'G-2 Habitat groups'!E175</f>
        <v>0</v>
      </c>
      <c r="D166" s="648">
        <f>'G-2 Habitat groups'!F175</f>
        <v>0</v>
      </c>
      <c r="E166" s="648">
        <f>'G-2 Habitat groups'!O175</f>
        <v>0</v>
      </c>
      <c r="F166" s="648">
        <f>'G-2 Habitat groups'!P175</f>
        <v>0</v>
      </c>
      <c r="G166" s="648">
        <f t="shared" si="25"/>
        <v>0</v>
      </c>
      <c r="H166" s="648">
        <f t="shared" si="25"/>
        <v>0</v>
      </c>
      <c r="J166" s="1217" t="str">
        <f>'G-1 All Habitats'!$V$4</f>
        <v>High</v>
      </c>
      <c r="K166" s="1219">
        <f>SUMIF('C-1 On-Site WaterC'' Baseline'!$F$10:$F$257,'Detailed Results'!J166,'C-1 On-Site WaterC'' Baseline'!$X$10:$X$257)+SUMIF('F-1 Off-Site WaterC'' Baseline'!$F$10:$F$257,'Detailed Results'!J166,'F-1 Off-Site WaterC'' Baseline'!$AA$10:$AA$257)</f>
        <v>0</v>
      </c>
      <c r="L166" s="1224" t="str">
        <f>IF(K166=0,"",(K166/(SUM($K$164:$K$171)))*100)</f>
        <v/>
      </c>
    </row>
    <row r="167" spans="1:12" ht="15.75" x14ac:dyDescent="0.2">
      <c r="A167" s="1216"/>
      <c r="B167" s="645" t="s">
        <v>200</v>
      </c>
      <c r="C167" s="648">
        <f>'G-2 Habitat groups'!E176</f>
        <v>0</v>
      </c>
      <c r="D167" s="648">
        <f>'G-2 Habitat groups'!F176</f>
        <v>0</v>
      </c>
      <c r="E167" s="648">
        <f>'G-2 Habitat groups'!O176</f>
        <v>0</v>
      </c>
      <c r="F167" s="648">
        <f>'G-2 Habitat groups'!P176</f>
        <v>0</v>
      </c>
      <c r="G167" s="648">
        <f t="shared" si="25"/>
        <v>0</v>
      </c>
      <c r="H167" s="648">
        <f t="shared" si="25"/>
        <v>0</v>
      </c>
      <c r="J167" s="1218"/>
      <c r="K167" s="1220"/>
      <c r="L167" s="1225"/>
    </row>
    <row r="168" spans="1:12" x14ac:dyDescent="0.2">
      <c r="A168" s="1216"/>
      <c r="J168" s="1217" t="str">
        <f>'G-1 All Habitats'!$V$5</f>
        <v>Medium</v>
      </c>
      <c r="K168" s="1219">
        <f>SUMIF('C-1 On-Site WaterC'' Baseline'!$F$10:$F$257,'Detailed Results'!J168,'C-1 On-Site WaterC'' Baseline'!$X$10:$X$257)+SUMIF('F-1 Off-Site WaterC'' Baseline'!$F$10:$F$257,'Detailed Results'!J168,'F-1 Off-Site WaterC'' Baseline'!$AA$10:$AA$257)</f>
        <v>0</v>
      </c>
      <c r="L168" s="1224" t="str">
        <f>IF(K168=0,"",(K168/(SUM($K$164:$K$171)))*100)</f>
        <v/>
      </c>
    </row>
    <row r="169" spans="1:12" x14ac:dyDescent="0.2">
      <c r="A169" s="1216"/>
      <c r="J169" s="1218"/>
      <c r="K169" s="1220"/>
      <c r="L169" s="1225"/>
    </row>
    <row r="170" spans="1:12" x14ac:dyDescent="0.2">
      <c r="A170" s="1216"/>
      <c r="J170" s="1217" t="str">
        <f>'G-1 All Habitats'!$V$6</f>
        <v>Low</v>
      </c>
      <c r="K170" s="1219">
        <f>SUMIF('C-1 On-Site WaterC'' Baseline'!$F$10:$F$257,'Detailed Results'!J170,'C-1 On-Site WaterC'' Baseline'!$X$10:$X$257)+SUMIF('F-1 Off-Site WaterC'' Baseline'!$F$10:$F$257,'Detailed Results'!J170,'F-1 Off-Site WaterC'' Baseline'!$AA$10:$AA$257)</f>
        <v>0</v>
      </c>
      <c r="L170" s="1224" t="str">
        <f>IF(K170=0,"",(K170/(SUM($K$164:$K$171)))*100)</f>
        <v/>
      </c>
    </row>
    <row r="171" spans="1:12" ht="15" thickBot="1" x14ac:dyDescent="0.25">
      <c r="A171" s="1216"/>
      <c r="J171" s="1222"/>
      <c r="K171" s="1223"/>
      <c r="L171" s="1226"/>
    </row>
    <row r="172" spans="1:12" x14ac:dyDescent="0.2">
      <c r="A172" s="1216"/>
    </row>
    <row r="173" spans="1:12" x14ac:dyDescent="0.2">
      <c r="A173" s="1216"/>
    </row>
    <row r="174" spans="1:12" x14ac:dyDescent="0.2">
      <c r="A174" s="1216"/>
    </row>
    <row r="175" spans="1:12" x14ac:dyDescent="0.2">
      <c r="A175" s="1216"/>
    </row>
    <row r="176" spans="1:12" x14ac:dyDescent="0.2">
      <c r="A176" s="1216"/>
    </row>
    <row r="177" spans="1:8" x14ac:dyDescent="0.2">
      <c r="A177" s="1216"/>
    </row>
    <row r="178" spans="1:8" x14ac:dyDescent="0.2">
      <c r="A178" s="1216"/>
    </row>
    <row r="179" spans="1:8" ht="15" thickBot="1" x14ac:dyDescent="0.25">
      <c r="A179" s="1216"/>
    </row>
    <row r="180" spans="1:8" ht="18.75" thickBot="1" x14ac:dyDescent="0.3">
      <c r="A180" s="1216"/>
      <c r="B180" s="1221" t="s">
        <v>201</v>
      </c>
      <c r="C180" s="1221"/>
      <c r="D180" s="1221"/>
      <c r="E180" s="1221"/>
      <c r="F180" s="1221"/>
      <c r="G180" s="1221"/>
      <c r="H180" s="1221"/>
    </row>
    <row r="181" spans="1:8" ht="16.5" thickBot="1" x14ac:dyDescent="0.25">
      <c r="A181" s="1216"/>
      <c r="B181" s="625"/>
      <c r="C181" s="1204" t="s">
        <v>111</v>
      </c>
      <c r="D181" s="1204"/>
      <c r="E181" s="1204" t="s">
        <v>202</v>
      </c>
      <c r="F181" s="1204"/>
      <c r="G181" s="1204" t="s">
        <v>203</v>
      </c>
      <c r="H181" s="1204"/>
    </row>
    <row r="182" spans="1:8" ht="48" thickBot="1" x14ac:dyDescent="0.25">
      <c r="A182" s="1216"/>
      <c r="B182" s="626" t="s">
        <v>193</v>
      </c>
      <c r="C182" s="625" t="s">
        <v>181</v>
      </c>
      <c r="D182" s="625" t="s">
        <v>143</v>
      </c>
      <c r="E182" s="625" t="s">
        <v>204</v>
      </c>
      <c r="F182" s="625" t="s">
        <v>145</v>
      </c>
      <c r="G182" s="625" t="s">
        <v>183</v>
      </c>
      <c r="H182" s="625" t="s">
        <v>147</v>
      </c>
    </row>
    <row r="183" spans="1:8" ht="15.75" x14ac:dyDescent="0.2">
      <c r="A183" s="1216"/>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x14ac:dyDescent="0.2">
      <c r="A184" s="1216"/>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x14ac:dyDescent="0.2">
      <c r="A185" s="1216"/>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x14ac:dyDescent="0.2">
      <c r="A186" s="1216"/>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x14ac:dyDescent="0.2">
      <c r="A187" s="1216"/>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x14ac:dyDescent="0.2">
      <c r="A188" s="1216"/>
      <c r="B188" s="633"/>
      <c r="C188" s="633"/>
      <c r="D188" s="633"/>
      <c r="E188" s="633"/>
      <c r="F188" s="633"/>
      <c r="G188" s="633"/>
      <c r="H188" s="633"/>
    </row>
    <row r="189" spans="1:8" x14ac:dyDescent="0.2">
      <c r="A189" s="1216"/>
      <c r="B189" s="633"/>
      <c r="C189" s="633"/>
      <c r="D189" s="633"/>
      <c r="E189" s="633"/>
      <c r="F189" s="633"/>
      <c r="G189" s="633"/>
      <c r="H189" s="633"/>
    </row>
    <row r="190" spans="1:8" x14ac:dyDescent="0.2">
      <c r="A190" s="1216"/>
      <c r="B190" s="633"/>
      <c r="C190" s="633"/>
      <c r="D190" s="633"/>
      <c r="E190" s="633"/>
      <c r="F190" s="633"/>
      <c r="G190" s="633"/>
      <c r="H190" s="633"/>
    </row>
    <row r="191" spans="1:8" x14ac:dyDescent="0.2">
      <c r="A191" s="1216"/>
      <c r="B191" s="633"/>
      <c r="C191" s="633"/>
      <c r="D191" s="633"/>
      <c r="E191" s="633"/>
      <c r="F191" s="633"/>
      <c r="G191" s="633"/>
      <c r="H191" s="633"/>
    </row>
    <row r="192" spans="1:8" x14ac:dyDescent="0.2">
      <c r="A192" s="1216"/>
      <c r="B192" s="633"/>
      <c r="C192" s="633"/>
      <c r="D192" s="633"/>
      <c r="E192" s="633"/>
      <c r="F192" s="633"/>
      <c r="G192" s="633"/>
      <c r="H192" s="633"/>
    </row>
    <row r="193" spans="1:8" x14ac:dyDescent="0.2">
      <c r="A193" s="1216"/>
      <c r="B193" s="633"/>
      <c r="C193" s="633"/>
      <c r="D193" s="633"/>
      <c r="E193" s="633"/>
      <c r="F193" s="633"/>
      <c r="G193" s="633"/>
      <c r="H193" s="633"/>
    </row>
    <row r="194" spans="1:8" x14ac:dyDescent="0.2">
      <c r="A194" s="1216"/>
      <c r="B194" s="633"/>
      <c r="C194" s="633"/>
      <c r="D194" s="633"/>
      <c r="E194" s="633"/>
      <c r="F194" s="633"/>
      <c r="G194" s="633"/>
      <c r="H194" s="633"/>
    </row>
    <row r="195" spans="1:8" x14ac:dyDescent="0.2">
      <c r="A195" s="1216"/>
      <c r="B195" s="633"/>
      <c r="C195" s="633"/>
      <c r="D195" s="633"/>
      <c r="E195" s="633"/>
      <c r="F195" s="633"/>
      <c r="G195" s="633"/>
      <c r="H195" s="633"/>
    </row>
    <row r="196" spans="1:8" x14ac:dyDescent="0.2">
      <c r="A196" s="1216"/>
      <c r="B196" s="633"/>
      <c r="C196" s="633"/>
    </row>
    <row r="197" spans="1:8" x14ac:dyDescent="0.2">
      <c r="A197" s="1216"/>
      <c r="B197" s="633"/>
      <c r="C197" s="633"/>
    </row>
    <row r="198" spans="1:8" x14ac:dyDescent="0.2">
      <c r="A198" s="1216"/>
      <c r="B198" s="633"/>
      <c r="C198" s="633"/>
    </row>
    <row r="199" spans="1:8" ht="15" thickBot="1" x14ac:dyDescent="0.25">
      <c r="A199" s="1216"/>
      <c r="B199" s="633"/>
      <c r="C199" s="633"/>
    </row>
    <row r="200" spans="1:8" ht="18.75" thickBot="1" x14ac:dyDescent="0.3">
      <c r="A200" s="1216"/>
      <c r="B200" s="1221" t="s">
        <v>205</v>
      </c>
      <c r="C200" s="1221"/>
      <c r="D200" s="1221"/>
      <c r="E200" s="1221"/>
      <c r="F200" s="1221"/>
      <c r="G200" s="1221"/>
      <c r="H200" s="1221"/>
    </row>
    <row r="201" spans="1:8" ht="16.5" thickBot="1" x14ac:dyDescent="0.25">
      <c r="A201" s="1216"/>
      <c r="B201" s="625"/>
      <c r="C201" s="1204" t="s">
        <v>111</v>
      </c>
      <c r="D201" s="1204"/>
      <c r="E201" s="1204" t="s">
        <v>112</v>
      </c>
      <c r="F201" s="1204"/>
      <c r="G201" s="1204" t="s">
        <v>113</v>
      </c>
      <c r="H201" s="1204"/>
    </row>
    <row r="202" spans="1:8" ht="48" thickBot="1" x14ac:dyDescent="0.25">
      <c r="A202" s="1216"/>
      <c r="B202" s="626" t="s">
        <v>193</v>
      </c>
      <c r="C202" s="625" t="s">
        <v>206</v>
      </c>
      <c r="D202" s="625" t="s">
        <v>152</v>
      </c>
      <c r="E202" s="625" t="s">
        <v>187</v>
      </c>
      <c r="F202" s="625" t="s">
        <v>154</v>
      </c>
      <c r="G202" s="625" t="s">
        <v>188</v>
      </c>
      <c r="H202" s="625" t="s">
        <v>156</v>
      </c>
    </row>
    <row r="203" spans="1:8" ht="15.75" x14ac:dyDescent="0.2">
      <c r="A203" s="1216"/>
      <c r="B203" s="644" t="s">
        <v>196</v>
      </c>
      <c r="C203" s="648">
        <f t="shared" ref="C203:H204" si="27">C163+C183</f>
        <v>0</v>
      </c>
      <c r="D203" s="648">
        <f t="shared" si="27"/>
        <v>0</v>
      </c>
      <c r="E203" s="648">
        <f t="shared" si="27"/>
        <v>0</v>
      </c>
      <c r="F203" s="648">
        <f t="shared" si="27"/>
        <v>0</v>
      </c>
      <c r="G203" s="648">
        <f t="shared" si="27"/>
        <v>0</v>
      </c>
      <c r="H203" s="648">
        <f t="shared" si="27"/>
        <v>0</v>
      </c>
    </row>
    <row r="204" spans="1:8" ht="15.75" x14ac:dyDescent="0.2">
      <c r="A204" s="1216"/>
      <c r="B204" s="645" t="s">
        <v>197</v>
      </c>
      <c r="C204" s="648">
        <f t="shared" si="27"/>
        <v>5.5524086075033221</v>
      </c>
      <c r="D204" s="648">
        <f t="shared" si="27"/>
        <v>57.248335704889655</v>
      </c>
      <c r="E204" s="648">
        <f t="shared" si="27"/>
        <v>5.5524086075033221</v>
      </c>
      <c r="F204" s="648">
        <f t="shared" si="27"/>
        <v>74.441658662955717</v>
      </c>
      <c r="G204" s="648">
        <f t="shared" si="27"/>
        <v>0</v>
      </c>
      <c r="H204" s="648">
        <f t="shared" si="27"/>
        <v>17.193322958066062</v>
      </c>
    </row>
    <row r="205" spans="1:8" ht="15.75" x14ac:dyDescent="0.2">
      <c r="A205" s="1216"/>
      <c r="B205" s="645" t="s">
        <v>198</v>
      </c>
      <c r="C205" s="648">
        <f t="shared" ref="C205:H205" si="28">C165+C185</f>
        <v>31.179001572687749</v>
      </c>
      <c r="D205" s="648">
        <f t="shared" si="28"/>
        <v>101.14873307916766</v>
      </c>
      <c r="E205" s="648">
        <f t="shared" si="28"/>
        <v>31.179001572687746</v>
      </c>
      <c r="F205" s="648">
        <f t="shared" si="28"/>
        <v>127.90173948426539</v>
      </c>
      <c r="G205" s="648">
        <f t="shared" si="28"/>
        <v>0</v>
      </c>
      <c r="H205" s="648">
        <f t="shared" si="28"/>
        <v>26.753006405097736</v>
      </c>
    </row>
    <row r="206" spans="1:8" ht="15.75" x14ac:dyDescent="0.2">
      <c r="A206" s="1216"/>
      <c r="B206" s="645" t="s">
        <v>199</v>
      </c>
      <c r="C206" s="648">
        <f t="shared" ref="C206:H206" si="29">C166+C186</f>
        <v>0</v>
      </c>
      <c r="D206" s="648">
        <f t="shared" si="29"/>
        <v>0</v>
      </c>
      <c r="E206" s="648">
        <f t="shared" si="29"/>
        <v>0</v>
      </c>
      <c r="F206" s="648">
        <f t="shared" si="29"/>
        <v>0</v>
      </c>
      <c r="G206" s="648">
        <f t="shared" si="29"/>
        <v>0</v>
      </c>
      <c r="H206" s="648">
        <f t="shared" si="29"/>
        <v>0</v>
      </c>
    </row>
    <row r="207" spans="1:8" ht="15.75" x14ac:dyDescent="0.2">
      <c r="A207" s="1216"/>
      <c r="B207" s="645" t="s">
        <v>200</v>
      </c>
      <c r="C207" s="648">
        <f t="shared" ref="C207:H207" si="30">C167+C187</f>
        <v>0</v>
      </c>
      <c r="D207" s="648">
        <f t="shared" si="30"/>
        <v>0</v>
      </c>
      <c r="E207" s="648">
        <f t="shared" si="30"/>
        <v>0</v>
      </c>
      <c r="F207" s="648">
        <f t="shared" si="30"/>
        <v>0</v>
      </c>
      <c r="G207" s="648">
        <f t="shared" si="30"/>
        <v>0</v>
      </c>
      <c r="H207" s="648">
        <f t="shared" si="30"/>
        <v>0</v>
      </c>
    </row>
    <row r="208" spans="1:8" x14ac:dyDescent="0.2">
      <c r="A208" s="1216"/>
      <c r="B208" s="633"/>
      <c r="C208" s="633"/>
      <c r="D208" s="633"/>
      <c r="E208" s="633"/>
      <c r="F208" s="633"/>
      <c r="G208" s="633"/>
      <c r="H208" s="633"/>
    </row>
    <row r="209" spans="1:8" x14ac:dyDescent="0.2">
      <c r="A209" s="1216"/>
      <c r="B209" s="633"/>
      <c r="C209" s="633"/>
      <c r="D209" s="633"/>
      <c r="E209" s="633"/>
      <c r="F209" s="633"/>
      <c r="G209" s="633"/>
      <c r="H209" s="633"/>
    </row>
    <row r="210" spans="1:8" x14ac:dyDescent="0.2">
      <c r="A210" s="1216"/>
      <c r="B210" s="633"/>
      <c r="C210" s="633"/>
      <c r="D210" s="633"/>
      <c r="E210" s="633"/>
      <c r="F210" s="633"/>
      <c r="G210" s="633"/>
      <c r="H210" s="633"/>
    </row>
    <row r="211" spans="1:8" x14ac:dyDescent="0.2">
      <c r="A211" s="1216"/>
      <c r="B211" s="633"/>
      <c r="C211" s="633"/>
      <c r="D211" s="633"/>
      <c r="E211" s="633"/>
      <c r="F211" s="633"/>
      <c r="G211" s="633"/>
      <c r="H211" s="633"/>
    </row>
    <row r="212" spans="1:8" x14ac:dyDescent="0.2">
      <c r="B212" s="633"/>
      <c r="C212" s="633"/>
      <c r="D212" s="633"/>
      <c r="E212" s="633"/>
      <c r="F212" s="633"/>
      <c r="G212" s="633"/>
      <c r="H212" s="633"/>
    </row>
    <row r="213" spans="1:8" x14ac:dyDescent="0.2">
      <c r="B213" s="633"/>
      <c r="C213" s="633"/>
      <c r="D213" s="633"/>
      <c r="E213" s="633"/>
      <c r="F213" s="633"/>
      <c r="G213" s="633"/>
      <c r="H213" s="633"/>
    </row>
    <row r="214" spans="1:8" x14ac:dyDescent="0.2">
      <c r="B214" s="633"/>
      <c r="C214" s="633"/>
      <c r="D214" s="633"/>
      <c r="E214" s="633"/>
      <c r="F214" s="633"/>
      <c r="G214" s="633"/>
      <c r="H214" s="633"/>
    </row>
    <row r="215" spans="1:8" x14ac:dyDescent="0.2">
      <c r="B215" s="633"/>
      <c r="C215" s="633"/>
      <c r="D215" s="633"/>
      <c r="E215" s="633"/>
      <c r="F215" s="633"/>
      <c r="G215" s="633"/>
      <c r="H215" s="633"/>
    </row>
  </sheetData>
  <sheetProtection algorithmName="SHA-512" hashValue="qHPtmnVnCYqYJBfWRKBKvFgInA8tiNZ5DuNhEW+gD0Y1FB1NjE2/NvYJWM/1Ej4vq7Kb3mkWhy85Qthrx3yU2g==" saltValue="tcgHw7RUHTjdAsLzdmuyQ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D21:D22">
    <cfRule type="cellIs" dxfId="606" priority="44" operator="equal">
      <formula>"Error ▲"</formula>
    </cfRule>
  </conditionalFormatting>
  <conditionalFormatting sqref="D24:D25">
    <cfRule type="cellIs" dxfId="605" priority="43" operator="equal">
      <formula>"Error ▲"</formula>
    </cfRule>
  </conditionalFormatting>
  <conditionalFormatting sqref="D27:D28">
    <cfRule type="cellIs" dxfId="604" priority="42" operator="equal">
      <formula>"Error ▲"</formula>
    </cfRule>
  </conditionalFormatting>
  <conditionalFormatting sqref="D30:D31">
    <cfRule type="cellIs" dxfId="603" priority="21" operator="equal">
      <formula>"Error ▲"</formula>
    </cfRule>
  </conditionalFormatting>
  <conditionalFormatting sqref="H14">
    <cfRule type="expression" dxfId="602" priority="354">
      <formula>AND($D$21&gt;0,$H$14&lt;0.1)</formula>
    </cfRule>
  </conditionalFormatting>
  <conditionalFormatting sqref="H15">
    <cfRule type="expression" dxfId="600" priority="353">
      <formula>AND($F$21&gt;0,$H$15&lt;0.1)</formula>
    </cfRule>
  </conditionalFormatting>
  <conditionalFormatting sqref="H10:I10">
    <cfRule type="cellIs" dxfId="599" priority="352" operator="equal">
      <formula>"Error"</formula>
    </cfRule>
  </conditionalFormatting>
  <conditionalFormatting sqref="H10:I12 H14:I16">
    <cfRule type="containsText" dxfId="598" priority="9" operator="containsText" text="Check">
      <formula>NOT(ISERROR(SEARCH("Check",H10)))</formula>
    </cfRule>
  </conditionalFormatting>
  <conditionalFormatting sqref="H14:I16">
    <cfRule type="cellIs" dxfId="597" priority="347" operator="equal">
      <formula>"Error"</formula>
    </cfRule>
  </conditionalFormatting>
  <conditionalFormatting sqref="H15:I15">
    <cfRule type="expression" dxfId="596" priority="335">
      <formula>AND($F$21&gt;0,$H$16&lt;0.1)</formula>
    </cfRule>
  </conditionalFormatting>
  <conditionalFormatting sqref="H16:I16">
    <cfRule type="expression" dxfId="595" priority="2">
      <formula>AND($H$21&gt;0,$H$16&lt;0.1)</formula>
    </cfRule>
  </conditionalFormatting>
  <conditionalFormatting sqref="K40 K42 K44 K46 K48">
    <cfRule type="cellIs" dxfId="594" priority="90" operator="greaterThan">
      <formula>0</formula>
    </cfRule>
  </conditionalFormatting>
  <conditionalFormatting sqref="K101">
    <cfRule type="cellIs" dxfId="593" priority="3" operator="greaterThan">
      <formula>0</formula>
    </cfRule>
  </conditionalFormatting>
  <conditionalFormatting sqref="K103 K105 K107 K109">
    <cfRule type="cellIs" dxfId="592" priority="6" operator="greaterThan">
      <formula>0</formula>
    </cfRule>
  </conditionalFormatting>
  <conditionalFormatting sqref="K164">
    <cfRule type="cellIs" dxfId="591" priority="5" operator="greaterThan">
      <formula>0</formula>
    </cfRule>
  </conditionalFormatting>
  <conditionalFormatting sqref="K166 K168 K170">
    <cfRule type="cellIs" dxfId="590" priority="4" operator="greater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2" operator="greaterThanOrEqual" id="{FE7C1990-5226-43AB-89FC-E5A6A8FD77CE}">
            <xm:f>Start!$F$22</xm:f>
            <x14:dxf>
              <fill>
                <patternFill>
                  <bgColor rgb="FF92D050"/>
                </patternFill>
              </fill>
            </x14:dxf>
          </x14:cfRule>
          <xm:sqref>H14:H16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4.25" zeroHeight="1" x14ac:dyDescent="0.2"/>
  <cols>
    <col min="1" max="1" width="17" style="30" customWidth="1"/>
    <col min="2" max="2" width="104.85546875" style="30" bestFit="1" customWidth="1"/>
    <col min="3" max="3" width="24.42578125" style="30" bestFit="1" customWidth="1"/>
    <col min="4" max="4" width="10.5703125" style="30" bestFit="1" customWidth="1"/>
    <col min="5" max="5" width="10.28515625" style="30" bestFit="1" customWidth="1"/>
    <col min="6" max="6" width="18.140625" style="30" customWidth="1"/>
    <col min="7" max="7" width="31" style="30" customWidth="1"/>
    <col min="8" max="8" width="5" style="30" customWidth="1"/>
    <col min="9" max="9" width="49.42578125" style="30" customWidth="1"/>
    <col min="10" max="10" width="10.85546875" style="30" customWidth="1"/>
    <col min="11" max="11" width="2" style="30" customWidth="1"/>
    <col min="12" max="12" width="2.5703125" style="30" customWidth="1"/>
    <col min="13" max="13" width="4.140625" style="30" customWidth="1"/>
    <col min="14" max="16" width="9.140625" style="30" customWidth="1"/>
    <col min="17" max="17" width="10.5703125" style="30" customWidth="1"/>
    <col min="18" max="20" width="9.140625" style="30" customWidth="1"/>
    <col min="21" max="22" width="0" style="30" hidden="1" customWidth="1"/>
    <col min="23" max="16384" width="9.140625" style="30" hidden="1"/>
  </cols>
  <sheetData>
    <row r="1" spans="1:17" ht="15.75" thickBot="1" x14ac:dyDescent="0.25">
      <c r="A1" s="333"/>
      <c r="B1" s="32"/>
      <c r="C1" s="32"/>
      <c r="D1" s="32"/>
      <c r="E1" s="32"/>
      <c r="G1" s="32"/>
      <c r="H1" s="32"/>
      <c r="I1" s="32"/>
      <c r="J1" s="32"/>
      <c r="K1" s="32"/>
      <c r="L1" s="32"/>
      <c r="M1" s="32"/>
      <c r="N1" s="32"/>
      <c r="O1" s="32"/>
      <c r="P1" s="32"/>
      <c r="Q1" s="32"/>
    </row>
    <row r="2" spans="1:17" ht="26.25" thickBot="1" x14ac:dyDescent="0.25">
      <c r="A2" s="32"/>
      <c r="B2" s="1296" t="s">
        <v>207</v>
      </c>
      <c r="C2" s="1297"/>
      <c r="D2" s="1297"/>
      <c r="E2" s="1297"/>
      <c r="F2" s="1297"/>
      <c r="G2" s="1298"/>
      <c r="H2" s="32"/>
      <c r="I2" s="32"/>
      <c r="J2" s="32"/>
      <c r="K2" s="32"/>
      <c r="L2" s="32"/>
      <c r="M2" s="32"/>
      <c r="N2" s="32"/>
      <c r="O2" s="32"/>
      <c r="P2" s="32"/>
      <c r="Q2" s="32"/>
    </row>
    <row r="3" spans="1:17" ht="15" customHeight="1" x14ac:dyDescent="0.2">
      <c r="A3" s="32"/>
      <c r="B3" s="1312" t="s">
        <v>208</v>
      </c>
      <c r="C3" s="1314" t="s">
        <v>209</v>
      </c>
      <c r="D3" s="1314"/>
      <c r="E3" s="1314"/>
      <c r="F3" s="1314"/>
      <c r="G3" s="1310" t="s">
        <v>210</v>
      </c>
      <c r="H3" s="219"/>
      <c r="I3" s="219"/>
      <c r="J3" s="219"/>
      <c r="K3" s="219"/>
      <c r="L3" s="32"/>
      <c r="M3" s="32"/>
      <c r="N3" s="32"/>
      <c r="O3" s="32"/>
      <c r="P3" s="32"/>
      <c r="Q3" s="32"/>
    </row>
    <row r="4" spans="1:17" ht="14.25" customHeight="1" x14ac:dyDescent="0.2">
      <c r="A4" s="32"/>
      <c r="B4" s="1313"/>
      <c r="C4" s="1315"/>
      <c r="D4" s="1315"/>
      <c r="E4" s="1315"/>
      <c r="F4" s="1315"/>
      <c r="G4" s="1311"/>
      <c r="H4" s="219"/>
      <c r="I4" s="219"/>
      <c r="J4" s="219"/>
      <c r="K4" s="219"/>
      <c r="L4" s="32"/>
      <c r="M4" s="32"/>
      <c r="N4" s="32"/>
      <c r="O4" s="32"/>
      <c r="P4" s="32"/>
      <c r="Q4" s="32"/>
    </row>
    <row r="5" spans="1:17" ht="20.25" x14ac:dyDescent="0.2">
      <c r="A5" s="32"/>
      <c r="B5" s="99" t="s">
        <v>211</v>
      </c>
      <c r="C5" s="1316" t="s">
        <v>212</v>
      </c>
      <c r="D5" s="1317"/>
      <c r="E5" s="1317"/>
      <c r="F5" s="1318"/>
      <c r="G5" s="545" t="str">
        <f>IF(('A-1 On-Site Habitat Baseline'!AQ259+'D-1 Off-Site Habitat Baseline'!AU259)&gt;0,"No ▲","Yes ✓")</f>
        <v>Yes ✓</v>
      </c>
      <c r="H5" s="219"/>
      <c r="I5" s="219"/>
      <c r="J5" s="219"/>
      <c r="K5" s="219"/>
      <c r="L5" s="32"/>
      <c r="M5" s="32"/>
      <c r="N5" s="32"/>
      <c r="O5" s="32"/>
      <c r="P5" s="32"/>
      <c r="Q5" s="32"/>
    </row>
    <row r="6" spans="1:17" ht="22.5" customHeight="1" x14ac:dyDescent="0.2">
      <c r="A6" s="32"/>
      <c r="B6" s="99" t="s">
        <v>213</v>
      </c>
      <c r="C6" s="1319" t="s">
        <v>214</v>
      </c>
      <c r="D6" s="1319"/>
      <c r="E6" s="1319"/>
      <c r="F6" s="1319"/>
      <c r="G6" s="545" t="str">
        <f>IFERROR(IF(J41&lt;0,"No ▲","Yes ✓"),"")</f>
        <v>Yes ✓</v>
      </c>
      <c r="H6" s="32"/>
      <c r="I6" s="32"/>
      <c r="J6" s="32"/>
      <c r="K6" s="32"/>
      <c r="L6" s="32"/>
      <c r="M6" s="32"/>
      <c r="N6" s="32"/>
      <c r="O6" s="32"/>
      <c r="P6" s="32"/>
      <c r="Q6" s="32"/>
    </row>
    <row r="7" spans="1:17" ht="19.5" customHeight="1" x14ac:dyDescent="0.2">
      <c r="A7" s="32"/>
      <c r="B7" s="99" t="s">
        <v>70</v>
      </c>
      <c r="C7" s="1320" t="s">
        <v>215</v>
      </c>
      <c r="D7" s="1320"/>
      <c r="E7" s="1320"/>
      <c r="F7" s="1320"/>
      <c r="G7" s="546" t="str">
        <f ca="1">IF(J40+J12+J89&lt;0,"No ▲","Yes ✓")</f>
        <v>Yes ✓</v>
      </c>
      <c r="H7" s="32"/>
      <c r="I7" s="32"/>
      <c r="J7" s="32"/>
      <c r="K7" s="32"/>
      <c r="L7" s="32"/>
      <c r="M7" s="32"/>
      <c r="N7" s="32"/>
      <c r="O7" s="32"/>
      <c r="P7" s="32"/>
      <c r="Q7" s="32"/>
    </row>
    <row r="8" spans="1:17" ht="18.75" customHeight="1" thickBot="1" x14ac:dyDescent="0.25">
      <c r="A8" s="32"/>
      <c r="B8" s="74" t="s">
        <v>216</v>
      </c>
      <c r="C8" s="1321" t="s">
        <v>217</v>
      </c>
      <c r="D8" s="1321"/>
      <c r="E8" s="1321"/>
      <c r="F8" s="1321"/>
      <c r="G8" s="547" t="str">
        <f ca="1">IF(J126&lt;0,"No ▲","Yes ✓")</f>
        <v>Yes ✓</v>
      </c>
      <c r="H8" s="32"/>
      <c r="I8" s="32"/>
      <c r="J8" s="32"/>
      <c r="K8" s="32"/>
      <c r="L8" s="32"/>
      <c r="M8" s="32"/>
      <c r="N8" s="32"/>
      <c r="O8" s="32"/>
      <c r="P8" s="32"/>
      <c r="Q8" s="32"/>
    </row>
    <row r="9" spans="1:17" ht="14.25" customHeight="1" x14ac:dyDescent="0.2">
      <c r="A9" s="32"/>
      <c r="B9" s="32"/>
      <c r="C9" s="32"/>
      <c r="D9" s="32"/>
      <c r="E9" s="32"/>
      <c r="F9" s="32"/>
      <c r="G9" s="32"/>
      <c r="H9" s="32"/>
      <c r="I9" s="32"/>
      <c r="J9" s="32"/>
      <c r="K9" s="32"/>
      <c r="L9" s="32"/>
      <c r="M9" s="32"/>
      <c r="N9" s="32"/>
      <c r="O9" s="32"/>
      <c r="P9" s="32"/>
      <c r="Q9" s="32"/>
    </row>
    <row r="10" spans="1:17" ht="15" thickBot="1" x14ac:dyDescent="0.25">
      <c r="A10" s="32"/>
      <c r="B10" s="32"/>
      <c r="C10" s="32"/>
      <c r="D10" s="32"/>
      <c r="E10" s="32"/>
      <c r="F10" s="32"/>
      <c r="G10" s="32"/>
      <c r="H10" s="32"/>
      <c r="I10" s="32"/>
      <c r="J10" s="32"/>
      <c r="K10" s="32"/>
      <c r="L10" s="32"/>
      <c r="M10" s="32"/>
      <c r="N10" s="32"/>
      <c r="O10" s="32"/>
      <c r="P10" s="32"/>
      <c r="Q10" s="32"/>
    </row>
    <row r="11" spans="1:17" ht="26.25" thickBot="1" x14ac:dyDescent="0.25">
      <c r="A11" s="32"/>
      <c r="B11" s="1296" t="s">
        <v>218</v>
      </c>
      <c r="C11" s="1297"/>
      <c r="D11" s="1297"/>
      <c r="E11" s="1297"/>
      <c r="F11" s="1297"/>
      <c r="G11" s="1298"/>
      <c r="H11" s="32"/>
      <c r="I11" s="1301" t="s">
        <v>219</v>
      </c>
      <c r="J11" s="1302"/>
      <c r="K11" s="32"/>
      <c r="L11" s="32"/>
      <c r="M11" s="32"/>
      <c r="N11" s="32"/>
      <c r="O11" s="32"/>
      <c r="P11" s="32"/>
      <c r="Q11" s="32"/>
    </row>
    <row r="12" spans="1:17" s="33" customFormat="1" ht="63.75" thickBot="1" x14ac:dyDescent="0.25">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x14ac:dyDescent="0.2">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09" t="str">
        <f>IF($G$33&lt;0,"Very high distinctiveness unit defecit - CHECK DATA","")</f>
        <v/>
      </c>
      <c r="J13" s="1309"/>
      <c r="K13" s="32"/>
      <c r="L13" s="32"/>
      <c r="M13" s="32"/>
      <c r="N13" s="32"/>
      <c r="O13" s="32"/>
      <c r="P13" s="32"/>
      <c r="Q13" s="32"/>
    </row>
    <row r="14" spans="1:17" x14ac:dyDescent="0.2">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x14ac:dyDescent="0.2">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x14ac:dyDescent="0.2">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x14ac:dyDescent="0.2">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x14ac:dyDescent="0.2">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x14ac:dyDescent="0.2">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x14ac:dyDescent="0.2">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x14ac:dyDescent="0.2">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x14ac:dyDescent="0.2">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x14ac:dyDescent="0.2">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x14ac:dyDescent="0.2">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x14ac:dyDescent="0.2">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x14ac:dyDescent="0.2">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x14ac:dyDescent="0.2">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x14ac:dyDescent="0.2">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x14ac:dyDescent="0.2">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x14ac:dyDescent="0.2">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x14ac:dyDescent="0.2">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 thickBot="1" x14ac:dyDescent="0.25">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 thickBot="1" x14ac:dyDescent="0.25">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x14ac:dyDescent="0.2">
      <c r="A34" s="32"/>
      <c r="B34" s="32"/>
      <c r="C34" s="32"/>
      <c r="D34" s="32"/>
      <c r="E34" s="32"/>
      <c r="F34" s="32"/>
      <c r="G34" s="32"/>
      <c r="H34" s="32"/>
      <c r="I34" s="32"/>
      <c r="J34" s="32"/>
      <c r="K34" s="32"/>
      <c r="L34" s="32"/>
      <c r="M34" s="32"/>
      <c r="N34" s="32"/>
      <c r="O34" s="32"/>
      <c r="P34" s="32"/>
      <c r="Q34" s="32"/>
    </row>
    <row r="35" spans="1:17" x14ac:dyDescent="0.2">
      <c r="A35" s="32"/>
      <c r="B35" s="32"/>
      <c r="C35" s="32"/>
      <c r="D35" s="32"/>
      <c r="E35" s="32"/>
      <c r="F35" s="32"/>
      <c r="G35" s="32"/>
      <c r="H35" s="32"/>
      <c r="I35" s="32"/>
      <c r="J35" s="32"/>
      <c r="K35" s="32"/>
      <c r="L35" s="32"/>
      <c r="M35" s="32"/>
      <c r="N35" s="32"/>
      <c r="O35" s="32"/>
      <c r="P35" s="32"/>
      <c r="Q35" s="32"/>
    </row>
    <row r="36" spans="1:17" x14ac:dyDescent="0.2">
      <c r="A36" s="32"/>
      <c r="B36" s="32"/>
      <c r="C36" s="32"/>
      <c r="D36" s="32"/>
      <c r="E36" s="32"/>
      <c r="F36" s="32"/>
      <c r="G36" s="32"/>
      <c r="H36" s="32"/>
      <c r="I36" s="32"/>
      <c r="J36" s="32"/>
      <c r="K36" s="32"/>
      <c r="L36" s="32"/>
      <c r="M36" s="32"/>
      <c r="N36" s="32"/>
      <c r="O36" s="32"/>
      <c r="P36" s="32"/>
      <c r="Q36" s="32"/>
    </row>
    <row r="37" spans="1:17" x14ac:dyDescent="0.2">
      <c r="A37" s="32"/>
      <c r="B37" s="32"/>
      <c r="C37" s="32"/>
      <c r="D37" s="32"/>
      <c r="E37" s="32"/>
      <c r="F37" s="32"/>
      <c r="G37" s="32"/>
      <c r="H37" s="32"/>
      <c r="I37" s="32"/>
      <c r="J37" s="32"/>
      <c r="K37" s="32"/>
      <c r="L37" s="32"/>
      <c r="M37" s="32"/>
      <c r="N37" s="32"/>
      <c r="O37" s="32"/>
      <c r="P37" s="32"/>
      <c r="Q37" s="32"/>
    </row>
    <row r="38" spans="1:17" ht="15" thickBot="1" x14ac:dyDescent="0.25">
      <c r="A38" s="32"/>
      <c r="B38" s="32"/>
      <c r="C38" s="32"/>
      <c r="D38" s="32"/>
      <c r="E38" s="32"/>
      <c r="F38" s="32"/>
      <c r="G38" s="32"/>
      <c r="H38" s="32"/>
      <c r="I38" s="32"/>
      <c r="J38" s="32"/>
      <c r="K38" s="32"/>
      <c r="L38" s="32"/>
      <c r="M38" s="32"/>
      <c r="N38" s="32"/>
      <c r="O38" s="32"/>
      <c r="P38" s="32"/>
      <c r="Q38" s="32"/>
    </row>
    <row r="39" spans="1:17" ht="26.25" thickBot="1" x14ac:dyDescent="0.25">
      <c r="A39" s="32"/>
      <c r="B39" s="1322" t="s">
        <v>225</v>
      </c>
      <c r="C39" s="1323"/>
      <c r="D39" s="1323"/>
      <c r="E39" s="1323"/>
      <c r="F39" s="1323"/>
      <c r="G39" s="1324"/>
      <c r="H39" s="32"/>
      <c r="I39" s="1301" t="s">
        <v>226</v>
      </c>
      <c r="J39" s="1302"/>
      <c r="K39" s="32"/>
      <c r="L39" s="32"/>
      <c r="M39" s="32"/>
    </row>
    <row r="40" spans="1:17" ht="63" x14ac:dyDescent="0.2">
      <c r="A40" s="32"/>
      <c r="B40" s="754" t="s">
        <v>114</v>
      </c>
      <c r="C40" s="715" t="s">
        <v>220</v>
      </c>
      <c r="D40" s="715" t="s">
        <v>221</v>
      </c>
      <c r="E40" s="715" t="s">
        <v>147</v>
      </c>
      <c r="F40" s="715" t="s">
        <v>222</v>
      </c>
      <c r="G40" s="755" t="s">
        <v>227</v>
      </c>
      <c r="H40" s="32"/>
      <c r="I40" s="73" t="s">
        <v>228</v>
      </c>
      <c r="J40" s="350">
        <f>SUMIF($F$41:$F$81,"&gt;0")</f>
        <v>306.95253745211028</v>
      </c>
      <c r="K40" s="32"/>
      <c r="L40" s="32"/>
      <c r="M40" s="32"/>
      <c r="N40" s="32"/>
      <c r="O40" s="32"/>
    </row>
    <row r="41" spans="1:17" ht="15" thickBot="1" x14ac:dyDescent="0.25">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x14ac:dyDescent="0.2">
      <c r="A42" s="32"/>
      <c r="B42" s="271" t="str">
        <f>'G-2 Habitat groups'!AU31</f>
        <v>Grassland - Floodplain wetland mosaic and CFGM</v>
      </c>
      <c r="C42" s="272" t="str">
        <f>'G-2 Habitat groups'!AV31</f>
        <v>Grassland</v>
      </c>
      <c r="D42" s="346">
        <f>'G-2 Habitat groups'!BB31</f>
        <v>306.95253745211028</v>
      </c>
      <c r="E42" s="346">
        <f>'G-2 Habitat groups'!BD31</f>
        <v>0</v>
      </c>
      <c r="F42" s="346">
        <f>'G-2 Habitat groups'!BE31</f>
        <v>306.95253745211028</v>
      </c>
      <c r="G42" s="347" t="str">
        <f>'G-2 Habitat groups'!BF31</f>
        <v/>
      </c>
      <c r="H42" s="32"/>
      <c r="I42" s="32"/>
      <c r="J42" s="32"/>
      <c r="K42" s="32"/>
      <c r="L42" s="32"/>
      <c r="M42" s="32"/>
      <c r="N42" s="32"/>
      <c r="O42" s="32"/>
    </row>
    <row r="43" spans="1:17" ht="14.25" customHeight="1" x14ac:dyDescent="0.2">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x14ac:dyDescent="0.2">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x14ac:dyDescent="0.2">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x14ac:dyDescent="0.2">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x14ac:dyDescent="0.2">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x14ac:dyDescent="0.2">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x14ac:dyDescent="0.2">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x14ac:dyDescent="0.2">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x14ac:dyDescent="0.2">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x14ac:dyDescent="0.2">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x14ac:dyDescent="0.2">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x14ac:dyDescent="0.2">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x14ac:dyDescent="0.2">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x14ac:dyDescent="0.2">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x14ac:dyDescent="0.2">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x14ac:dyDescent="0.2">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x14ac:dyDescent="0.2">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x14ac:dyDescent="0.2">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x14ac:dyDescent="0.2">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x14ac:dyDescent="0.2">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x14ac:dyDescent="0.2">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x14ac:dyDescent="0.2">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x14ac:dyDescent="0.2">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x14ac:dyDescent="0.2">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x14ac:dyDescent="0.2">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x14ac:dyDescent="0.2">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45" customHeight="1" x14ac:dyDescent="0.2">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x14ac:dyDescent="0.2">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x14ac:dyDescent="0.2">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x14ac:dyDescent="0.2">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x14ac:dyDescent="0.2">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x14ac:dyDescent="0.2">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x14ac:dyDescent="0.2">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x14ac:dyDescent="0.2">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x14ac:dyDescent="0.2">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x14ac:dyDescent="0.2">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x14ac:dyDescent="0.2">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x14ac:dyDescent="0.2">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x14ac:dyDescent="0.2">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 thickBot="1" x14ac:dyDescent="0.25">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 thickBot="1" x14ac:dyDescent="0.25">
      <c r="A83" s="32"/>
      <c r="B83" s="32"/>
      <c r="C83" s="32"/>
      <c r="D83" s="609">
        <f>SUM(D41:D81)</f>
        <v>306.95253745211028</v>
      </c>
      <c r="E83" s="610">
        <f>SUM(E41:E81)</f>
        <v>0</v>
      </c>
      <c r="F83" s="344">
        <f>SUM(F41:F81)</f>
        <v>306.95253745211028</v>
      </c>
      <c r="G83" s="714">
        <f>SUM(G41:G81)</f>
        <v>0</v>
      </c>
      <c r="H83" s="32"/>
      <c r="I83" s="32"/>
      <c r="J83" s="32"/>
      <c r="K83" s="32"/>
      <c r="L83" s="32"/>
      <c r="M83" s="32"/>
      <c r="N83" s="32"/>
      <c r="O83" s="32"/>
      <c r="P83" s="32"/>
      <c r="Q83" s="32"/>
    </row>
    <row r="84" spans="1:17" x14ac:dyDescent="0.2">
      <c r="A84" s="32"/>
      <c r="B84" s="32"/>
      <c r="C84" s="32"/>
      <c r="D84" s="32"/>
      <c r="E84" s="32"/>
      <c r="F84" s="32"/>
      <c r="G84" s="32"/>
      <c r="H84" s="32"/>
      <c r="I84" s="32"/>
      <c r="J84" s="32"/>
      <c r="K84" s="32"/>
      <c r="L84" s="32"/>
      <c r="M84" s="32"/>
      <c r="N84" s="32"/>
      <c r="O84" s="32"/>
      <c r="P84" s="32"/>
      <c r="Q84" s="32"/>
    </row>
    <row r="85" spans="1:17" x14ac:dyDescent="0.2">
      <c r="A85" s="32"/>
      <c r="B85" s="32"/>
      <c r="C85" s="32"/>
      <c r="D85" s="32"/>
      <c r="E85" s="32"/>
      <c r="F85" s="32"/>
      <c r="G85" s="32"/>
      <c r="H85" s="32"/>
      <c r="I85" s="32"/>
      <c r="J85" s="32"/>
      <c r="K85" s="32"/>
      <c r="L85" s="32"/>
      <c r="M85" s="32"/>
      <c r="N85" s="32"/>
      <c r="O85" s="32"/>
      <c r="P85" s="32"/>
      <c r="Q85" s="32"/>
    </row>
    <row r="86" spans="1:17" ht="15" thickBot="1" x14ac:dyDescent="0.25">
      <c r="A86" s="32"/>
      <c r="B86" s="32"/>
      <c r="C86" s="32"/>
      <c r="D86" s="32"/>
      <c r="E86" s="32"/>
      <c r="F86" s="32"/>
      <c r="G86" s="32"/>
      <c r="H86" s="32"/>
      <c r="I86" s="32"/>
      <c r="J86" s="32"/>
      <c r="K86" s="32"/>
      <c r="L86" s="32"/>
      <c r="M86" s="32"/>
      <c r="N86" s="32"/>
      <c r="O86" s="32"/>
      <c r="P86" s="32"/>
      <c r="Q86" s="32"/>
    </row>
    <row r="87" spans="1:17" ht="28.5" thickBot="1" x14ac:dyDescent="0.35">
      <c r="A87" s="32"/>
      <c r="B87" s="1306" t="s">
        <v>231</v>
      </c>
      <c r="C87" s="1307"/>
      <c r="D87" s="1307"/>
      <c r="E87" s="1307"/>
      <c r="F87" s="1307"/>
      <c r="G87" s="1308"/>
      <c r="H87" s="32"/>
      <c r="I87" s="1299" t="s">
        <v>232</v>
      </c>
      <c r="J87" s="1300"/>
      <c r="K87" s="32"/>
      <c r="L87" s="32"/>
      <c r="M87" s="32"/>
      <c r="N87" s="32"/>
      <c r="O87" s="32"/>
    </row>
    <row r="88" spans="1:17" ht="63.75" thickBot="1" x14ac:dyDescent="0.25">
      <c r="A88" s="32"/>
      <c r="B88" s="275" t="s">
        <v>114</v>
      </c>
      <c r="C88" s="276" t="s">
        <v>220</v>
      </c>
      <c r="D88" s="276" t="s">
        <v>120</v>
      </c>
      <c r="E88" s="276" t="s">
        <v>147</v>
      </c>
      <c r="F88" s="276" t="s">
        <v>233</v>
      </c>
      <c r="G88" s="277" t="s">
        <v>234</v>
      </c>
      <c r="H88" s="32"/>
      <c r="I88" s="73" t="s">
        <v>249</v>
      </c>
      <c r="J88" s="352">
        <f ca="1">SUMIF(G89:G115,"&gt;0")</f>
        <v>1385.7259309932861</v>
      </c>
      <c r="K88" s="32"/>
      <c r="L88" s="32"/>
    </row>
    <row r="89" spans="1:17" ht="28.5" x14ac:dyDescent="0.2">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3">
        <f>SUM(F89:F92)</f>
        <v>-12.266403015613452</v>
      </c>
      <c r="H89" s="32"/>
      <c r="I89" s="99" t="s">
        <v>235</v>
      </c>
      <c r="J89" s="353">
        <f ca="1">SUMIF(G89:G115,"&lt;0")</f>
        <v>-12.266403015613452</v>
      </c>
      <c r="K89" s="32"/>
      <c r="L89" s="32"/>
    </row>
    <row r="90" spans="1:17" ht="28.5" x14ac:dyDescent="0.2">
      <c r="A90" s="32"/>
      <c r="B90" s="271" t="str">
        <f>'G-2 Habitat groups'!AU81</f>
        <v>Cropland - Arable field margins game bird mix</v>
      </c>
      <c r="C90" s="272" t="str">
        <f>'G-2 Habitat groups'!AV81</f>
        <v>Cropland</v>
      </c>
      <c r="D90" s="346">
        <f>'G-2 Habitat groups'!BB81</f>
        <v>-5.2538702437189082</v>
      </c>
      <c r="E90" s="346">
        <f>'G-2 Habitat groups'!BD81</f>
        <v>0</v>
      </c>
      <c r="F90" s="346">
        <f>'G-2 Habitat groups'!BE81</f>
        <v>-5.2538702437189082</v>
      </c>
      <c r="G90" s="1304"/>
      <c r="H90" s="32"/>
      <c r="I90" s="99" t="s">
        <v>1683</v>
      </c>
      <c r="J90" s="353">
        <f ca="1">J40+J12+J89</f>
        <v>294.68613443649684</v>
      </c>
    </row>
    <row r="91" spans="1:17" ht="15" thickBot="1" x14ac:dyDescent="0.25">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4"/>
      <c r="H91" s="32"/>
      <c r="I91" s="74" t="s">
        <v>236</v>
      </c>
      <c r="J91" s="351">
        <f ca="1">J90+J88</f>
        <v>1680.4120654297828</v>
      </c>
      <c r="K91" s="32"/>
      <c r="L91" s="32"/>
    </row>
    <row r="92" spans="1:17" ht="15" thickBot="1" x14ac:dyDescent="0.25">
      <c r="A92" s="32"/>
      <c r="B92" s="271" t="str">
        <f>'G-2 Habitat groups'!AU83</f>
        <v>Cropland - Arable field margins tussocky</v>
      </c>
      <c r="C92" s="272" t="str">
        <f>'G-2 Habitat groups'!AV83</f>
        <v>Cropland</v>
      </c>
      <c r="D92" s="346">
        <f>'G-2 Habitat groups'!BB83</f>
        <v>-7.0125327718945432</v>
      </c>
      <c r="E92" s="346">
        <f>'G-2 Habitat groups'!BD83</f>
        <v>0</v>
      </c>
      <c r="F92" s="346">
        <f>'G-2 Habitat groups'!BE83</f>
        <v>-7.0125327718945432</v>
      </c>
      <c r="G92" s="1304"/>
      <c r="H92" s="32"/>
      <c r="I92" s="32"/>
      <c r="J92" s="32"/>
      <c r="K92" s="32"/>
      <c r="L92" s="32"/>
    </row>
    <row r="93" spans="1:17" x14ac:dyDescent="0.2">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3">
        <f ca="1">SUM(F93:F95)</f>
        <v>1367.5599454713513</v>
      </c>
      <c r="H93" s="32"/>
      <c r="I93" s="32"/>
      <c r="J93" s="32"/>
      <c r="K93" s="32"/>
      <c r="L93" s="32"/>
    </row>
    <row r="94" spans="1:17" x14ac:dyDescent="0.2">
      <c r="A94" s="32"/>
      <c r="B94" s="271" t="str">
        <f>'G-2 Habitat groups'!AU85</f>
        <v>Grassland - Other neutral grassland</v>
      </c>
      <c r="C94" s="272" t="str">
        <f>'G-2 Habitat groups'!AV85</f>
        <v>Grassland</v>
      </c>
      <c r="D94" s="346">
        <f ca="1">'G-2 Habitat groups'!BB85</f>
        <v>1367.5599454713513</v>
      </c>
      <c r="E94" s="346">
        <f>'G-2 Habitat groups'!BD85</f>
        <v>0</v>
      </c>
      <c r="F94" s="346">
        <f ca="1">'G-2 Habitat groups'!BE85</f>
        <v>1367.5599454713513</v>
      </c>
      <c r="G94" s="1304"/>
      <c r="H94" s="32"/>
      <c r="I94" s="32"/>
      <c r="J94" s="32"/>
      <c r="K94" s="32"/>
      <c r="L94" s="32"/>
    </row>
    <row r="95" spans="1:17" ht="15" thickBot="1" x14ac:dyDescent="0.25">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5"/>
      <c r="H95" s="32"/>
      <c r="I95" s="32"/>
      <c r="J95" s="32"/>
      <c r="K95" s="32"/>
      <c r="L95" s="32"/>
      <c r="M95" s="32"/>
    </row>
    <row r="96" spans="1:17" x14ac:dyDescent="0.2">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03">
        <f>SUM(F96:F102)</f>
        <v>0.18512322431388384</v>
      </c>
      <c r="H96" s="32"/>
      <c r="I96" s="32"/>
      <c r="J96" s="32"/>
      <c r="K96" s="32"/>
      <c r="L96" s="32"/>
      <c r="M96" s="32"/>
    </row>
    <row r="97" spans="1:15" x14ac:dyDescent="0.2">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4"/>
      <c r="H97" s="32"/>
      <c r="I97" s="32"/>
      <c r="J97" s="32"/>
      <c r="K97" s="32"/>
      <c r="L97" s="32"/>
      <c r="M97" s="32"/>
    </row>
    <row r="98" spans="1:15" x14ac:dyDescent="0.2">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04"/>
      <c r="H98" s="32"/>
      <c r="I98" s="32"/>
      <c r="J98" s="32"/>
      <c r="K98" s="32"/>
      <c r="L98" s="32"/>
      <c r="M98" s="32"/>
    </row>
    <row r="99" spans="1:15" x14ac:dyDescent="0.2">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4"/>
      <c r="H99" s="32"/>
      <c r="I99" s="32"/>
      <c r="J99" s="32"/>
      <c r="K99" s="32"/>
      <c r="L99" s="32"/>
      <c r="M99" s="32"/>
    </row>
    <row r="100" spans="1:15" x14ac:dyDescent="0.2">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4"/>
      <c r="H100" s="32"/>
      <c r="I100" s="32"/>
      <c r="J100" s="32"/>
      <c r="K100" s="32"/>
      <c r="L100" s="32"/>
      <c r="M100" s="32"/>
    </row>
    <row r="101" spans="1:15" x14ac:dyDescent="0.2">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4"/>
      <c r="H101" s="32"/>
      <c r="I101" s="32"/>
      <c r="J101" s="32"/>
      <c r="K101" s="32"/>
      <c r="L101" s="32"/>
      <c r="M101" s="32"/>
      <c r="N101" s="32"/>
      <c r="O101" s="32"/>
    </row>
    <row r="102" spans="1:15" ht="15" thickBot="1" x14ac:dyDescent="0.25">
      <c r="A102" s="32"/>
      <c r="B102" s="273" t="str">
        <f>'G-2 Habitat groups'!AU92</f>
        <v>Heathland and shrub - Mixed scrub</v>
      </c>
      <c r="C102" s="274" t="str">
        <f>'G-2 Habitat groups'!AV92</f>
        <v>Heathland and shrub</v>
      </c>
      <c r="D102" s="355">
        <f>'G-2 Habitat groups'!BB92</f>
        <v>0.18512322431388384</v>
      </c>
      <c r="E102" s="355">
        <f>'G-2 Habitat groups'!BD92</f>
        <v>0</v>
      </c>
      <c r="F102" s="355">
        <f>'G-2 Habitat groups'!BE92</f>
        <v>0.18512322431388384</v>
      </c>
      <c r="G102" s="1305"/>
      <c r="H102" s="32"/>
      <c r="I102" s="32"/>
      <c r="J102" s="32"/>
      <c r="K102" s="32"/>
      <c r="L102" s="32"/>
      <c r="M102" s="32"/>
      <c r="N102" s="32"/>
      <c r="O102" s="32"/>
    </row>
    <row r="103" spans="1:15" x14ac:dyDescent="0.2">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03">
        <f>SUM(F103:F104)</f>
        <v>0</v>
      </c>
      <c r="H103" s="32"/>
      <c r="K103" s="32"/>
      <c r="L103" s="32"/>
      <c r="M103" s="32"/>
      <c r="N103" s="32"/>
      <c r="O103" s="32"/>
    </row>
    <row r="104" spans="1:15" ht="15" thickBot="1" x14ac:dyDescent="0.25">
      <c r="A104" s="32"/>
      <c r="B104" s="273" t="str">
        <f>'G-2 Habitat groups'!AU94</f>
        <v>Lakes - Reservoirs</v>
      </c>
      <c r="C104" s="274" t="str">
        <f>'G-2 Habitat groups'!AV94</f>
        <v>Lakes</v>
      </c>
      <c r="D104" s="355">
        <f>'G-2 Habitat groups'!BB94</f>
        <v>0</v>
      </c>
      <c r="E104" s="355">
        <f>'G-2 Habitat groups'!BD94</f>
        <v>0</v>
      </c>
      <c r="F104" s="355">
        <f>'G-2 Habitat groups'!BE94</f>
        <v>0</v>
      </c>
      <c r="G104" s="1305"/>
      <c r="H104" s="32"/>
      <c r="K104" s="32"/>
      <c r="L104" s="32"/>
      <c r="M104" s="32"/>
      <c r="N104" s="32"/>
      <c r="O104" s="32"/>
    </row>
    <row r="105" spans="1:15" ht="15" thickBot="1" x14ac:dyDescent="0.25">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x14ac:dyDescent="0.2">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3">
        <f>SUM(F106:F107)</f>
        <v>0</v>
      </c>
      <c r="H106" s="32"/>
      <c r="I106" s="32"/>
      <c r="J106" s="32"/>
      <c r="K106" s="32"/>
      <c r="L106" s="32"/>
      <c r="M106" s="32"/>
      <c r="N106" s="32"/>
      <c r="O106" s="32"/>
    </row>
    <row r="107" spans="1:15" ht="15" customHeight="1" thickBot="1" x14ac:dyDescent="0.25">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4"/>
      <c r="H107" s="32"/>
      <c r="I107" s="32"/>
      <c r="J107" s="32"/>
      <c r="K107" s="32"/>
      <c r="L107" s="32"/>
      <c r="M107" s="32"/>
      <c r="N107" s="32"/>
      <c r="O107" s="32"/>
    </row>
    <row r="108" spans="1:15" ht="15.75" customHeight="1" x14ac:dyDescent="0.2">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3">
        <f>SUM(F108:F109)</f>
        <v>0</v>
      </c>
      <c r="H108" s="32"/>
      <c r="I108" s="32"/>
      <c r="J108" s="32"/>
      <c r="K108" s="32"/>
      <c r="L108" s="32"/>
      <c r="M108" s="32"/>
      <c r="N108" s="32"/>
      <c r="O108" s="32"/>
    </row>
    <row r="109" spans="1:15" ht="15.75" customHeight="1" thickBot="1" x14ac:dyDescent="0.25">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05"/>
      <c r="H109" s="32"/>
      <c r="I109" s="32"/>
      <c r="J109" s="32"/>
      <c r="K109" s="32"/>
      <c r="L109" s="32"/>
      <c r="M109" s="32"/>
      <c r="N109" s="32"/>
      <c r="O109" s="32"/>
    </row>
    <row r="110" spans="1:15" x14ac:dyDescent="0.2">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3">
        <f>SUM(F110:F112)</f>
        <v>17.980862297620916</v>
      </c>
      <c r="H110" s="32"/>
      <c r="I110" s="32"/>
      <c r="J110" s="32"/>
      <c r="K110" s="32"/>
      <c r="L110" s="32"/>
      <c r="M110" s="32"/>
      <c r="N110" s="32"/>
      <c r="O110" s="32"/>
    </row>
    <row r="111" spans="1:15" x14ac:dyDescent="0.2">
      <c r="A111" s="32"/>
      <c r="B111" s="271" t="str">
        <f>'G-2 Habitat groups'!AU99</f>
        <v>Woodland and forest - Other woodland; broadleaved</v>
      </c>
      <c r="C111" s="272" t="str">
        <f>'G-2 Habitat groups'!AV99</f>
        <v>Woodland and forest</v>
      </c>
      <c r="D111" s="346">
        <f>'G-2 Habitat groups'!BB99</f>
        <v>17.980862297620916</v>
      </c>
      <c r="E111" s="346">
        <f>'G-2 Habitat groups'!BD99</f>
        <v>0</v>
      </c>
      <c r="F111" s="346">
        <f>'G-2 Habitat groups'!BE99</f>
        <v>17.980862297620916</v>
      </c>
      <c r="G111" s="1304"/>
      <c r="H111" s="32"/>
      <c r="I111" s="32"/>
      <c r="J111" s="32"/>
      <c r="K111" s="32"/>
      <c r="L111" s="32"/>
      <c r="M111" s="32"/>
      <c r="N111" s="32"/>
      <c r="O111" s="32"/>
    </row>
    <row r="112" spans="1:15" ht="15" thickBot="1" x14ac:dyDescent="0.25">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05"/>
      <c r="H112" s="32"/>
      <c r="I112" s="32"/>
      <c r="J112" s="32"/>
      <c r="K112" s="32"/>
      <c r="L112" s="32"/>
      <c r="M112" s="32"/>
      <c r="N112" s="32"/>
      <c r="O112" s="32"/>
    </row>
    <row r="113" spans="1:17" x14ac:dyDescent="0.2">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3">
        <f>SUM(F113:F115)</f>
        <v>0</v>
      </c>
      <c r="H113" s="32"/>
      <c r="I113" s="32"/>
      <c r="J113" s="32"/>
      <c r="K113" s="32"/>
      <c r="L113" s="32"/>
      <c r="M113" s="32"/>
      <c r="N113" s="32"/>
      <c r="O113" s="32"/>
    </row>
    <row r="114" spans="1:17" x14ac:dyDescent="0.2">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4"/>
      <c r="H114" s="32"/>
      <c r="I114" s="32"/>
      <c r="J114" s="32"/>
      <c r="K114" s="32"/>
      <c r="L114" s="32"/>
      <c r="M114" s="32"/>
      <c r="N114" s="32"/>
      <c r="O114" s="32"/>
    </row>
    <row r="115" spans="1:17" ht="21" customHeight="1" thickBot="1" x14ac:dyDescent="0.25">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5"/>
      <c r="H115" s="32"/>
      <c r="I115" s="32"/>
      <c r="J115" s="32"/>
      <c r="K115" s="32"/>
      <c r="L115" s="32"/>
      <c r="M115" s="32"/>
      <c r="N115" s="32"/>
      <c r="O115" s="32"/>
    </row>
    <row r="116" spans="1:17" ht="14.45" customHeight="1" thickBot="1" x14ac:dyDescent="0.25">
      <c r="A116" s="32"/>
      <c r="B116" s="32"/>
      <c r="C116" s="32"/>
      <c r="D116" s="342">
        <f ca="1">SUM(D89:D115)</f>
        <v>1373.4595279776727</v>
      </c>
      <c r="E116" s="343">
        <f>SUM(E89:E115)</f>
        <v>0</v>
      </c>
      <c r="F116" s="344">
        <f ca="1">SUM(F89:F115)</f>
        <v>1373.4595279776727</v>
      </c>
      <c r="H116" s="32"/>
      <c r="I116" s="32"/>
      <c r="J116" s="32"/>
      <c r="K116" s="32"/>
      <c r="L116" s="32"/>
      <c r="M116" s="32"/>
      <c r="N116" s="32"/>
      <c r="O116" s="32"/>
    </row>
    <row r="117" spans="1:17" x14ac:dyDescent="0.2">
      <c r="A117" s="32"/>
      <c r="B117" s="32"/>
      <c r="C117" s="32"/>
      <c r="D117" s="32"/>
      <c r="E117" s="32"/>
      <c r="F117" s="32"/>
      <c r="G117" s="32"/>
      <c r="H117" s="32"/>
      <c r="I117" s="32"/>
      <c r="J117" s="32"/>
      <c r="K117" s="32"/>
      <c r="L117" s="32"/>
      <c r="M117" s="32"/>
      <c r="N117" s="32"/>
      <c r="O117" s="32"/>
      <c r="P117" s="32"/>
      <c r="Q117" s="32"/>
    </row>
    <row r="118" spans="1:17" x14ac:dyDescent="0.2">
      <c r="A118" s="32"/>
      <c r="B118" s="32"/>
      <c r="C118" s="32"/>
      <c r="D118" s="32"/>
      <c r="E118" s="32"/>
      <c r="F118" s="32"/>
      <c r="G118" s="32"/>
      <c r="H118" s="32"/>
      <c r="I118" s="32"/>
      <c r="J118" s="32"/>
      <c r="K118" s="32"/>
      <c r="L118" s="32"/>
      <c r="M118" s="32"/>
      <c r="N118" s="32"/>
      <c r="O118" s="32"/>
      <c r="P118" s="32"/>
      <c r="Q118" s="32"/>
    </row>
    <row r="119" spans="1:17" x14ac:dyDescent="0.2">
      <c r="A119" s="32"/>
      <c r="B119" s="32"/>
      <c r="C119" s="32"/>
      <c r="D119" s="32"/>
      <c r="E119" s="32"/>
      <c r="F119" s="32"/>
      <c r="G119" s="32"/>
      <c r="H119" s="32"/>
      <c r="I119" s="32"/>
      <c r="J119" s="32"/>
      <c r="K119" s="32"/>
      <c r="L119" s="32"/>
      <c r="M119" s="32"/>
      <c r="N119" s="32"/>
      <c r="O119" s="32"/>
      <c r="P119" s="32"/>
      <c r="Q119" s="32"/>
    </row>
    <row r="120" spans="1:17" x14ac:dyDescent="0.2">
      <c r="A120" s="32"/>
      <c r="B120" s="32"/>
      <c r="C120" s="32"/>
      <c r="D120" s="32"/>
      <c r="E120" s="32"/>
      <c r="F120" s="32"/>
      <c r="G120" s="32"/>
      <c r="H120" s="32"/>
      <c r="I120" s="32"/>
      <c r="J120" s="32"/>
      <c r="K120" s="32"/>
      <c r="L120" s="32"/>
      <c r="M120" s="32"/>
      <c r="N120" s="32"/>
      <c r="O120" s="32"/>
      <c r="P120" s="32"/>
      <c r="Q120" s="32"/>
    </row>
    <row r="121" spans="1:17" x14ac:dyDescent="0.2">
      <c r="A121" s="32"/>
      <c r="B121" s="32"/>
      <c r="C121" s="32"/>
      <c r="D121" s="32"/>
      <c r="E121" s="32"/>
      <c r="F121" s="32"/>
      <c r="G121" s="32"/>
      <c r="H121" s="32"/>
      <c r="I121" s="32"/>
      <c r="J121" s="32"/>
      <c r="K121" s="32"/>
      <c r="L121" s="32"/>
      <c r="M121" s="32"/>
      <c r="N121" s="32"/>
      <c r="O121" s="32"/>
      <c r="P121" s="32"/>
      <c r="Q121" s="32"/>
    </row>
    <row r="122" spans="1:17" ht="15" thickBot="1" x14ac:dyDescent="0.25">
      <c r="A122" s="32"/>
      <c r="B122" s="32"/>
      <c r="C122" s="32"/>
      <c r="D122" s="32"/>
      <c r="E122" s="32"/>
      <c r="F122" s="32"/>
      <c r="G122" s="32"/>
      <c r="H122" s="32"/>
      <c r="I122" s="32"/>
      <c r="J122" s="32"/>
      <c r="K122" s="32"/>
      <c r="L122" s="32"/>
      <c r="M122" s="32"/>
      <c r="N122" s="32"/>
      <c r="O122" s="32"/>
      <c r="P122" s="32"/>
      <c r="Q122" s="32"/>
    </row>
    <row r="123" spans="1:17" ht="26.25" thickBot="1" x14ac:dyDescent="0.25">
      <c r="A123" s="32"/>
      <c r="B123" s="1296" t="s">
        <v>237</v>
      </c>
      <c r="C123" s="1297"/>
      <c r="D123" s="1297"/>
      <c r="E123" s="1297"/>
      <c r="F123" s="1298"/>
      <c r="G123" s="32"/>
      <c r="H123" s="32"/>
      <c r="I123" s="32"/>
      <c r="J123" s="32"/>
      <c r="K123" s="32"/>
      <c r="L123" s="32"/>
      <c r="M123" s="32"/>
      <c r="N123" s="32"/>
      <c r="O123" s="32"/>
    </row>
    <row r="124" spans="1:17" ht="63.75" thickBot="1" x14ac:dyDescent="0.35">
      <c r="A124" s="32"/>
      <c r="B124" s="70" t="s">
        <v>114</v>
      </c>
      <c r="C124" s="71" t="s">
        <v>220</v>
      </c>
      <c r="D124" s="71" t="s">
        <v>221</v>
      </c>
      <c r="E124" s="71" t="s">
        <v>147</v>
      </c>
      <c r="F124" s="72" t="s">
        <v>233</v>
      </c>
      <c r="G124" s="32"/>
      <c r="H124" s="32"/>
      <c r="I124" s="1299" t="s">
        <v>238</v>
      </c>
      <c r="J124" s="1300"/>
      <c r="K124" s="32"/>
      <c r="L124" s="32"/>
      <c r="M124" s="32"/>
      <c r="N124" s="32"/>
    </row>
    <row r="125" spans="1:17" x14ac:dyDescent="0.2">
      <c r="A125" s="32"/>
      <c r="B125" s="215" t="str">
        <f>'G-2 Habitat groups'!AU113</f>
        <v>Cropland - Cereal crops</v>
      </c>
      <c r="C125" s="79" t="str">
        <f>'G-2 Habitat groups'!AV113</f>
        <v>Cropland</v>
      </c>
      <c r="D125" s="358">
        <f>'G-2 Habitat groups'!BB113</f>
        <v>-2094.250498758412</v>
      </c>
      <c r="E125" s="358">
        <f>'G-2 Habitat groups'!BD113</f>
        <v>0</v>
      </c>
      <c r="F125" s="347">
        <f>'G-2 Habitat groups'!BE113</f>
        <v>-2094.250498758412</v>
      </c>
      <c r="G125" s="32"/>
      <c r="H125" s="32"/>
      <c r="I125" s="73" t="s">
        <v>239</v>
      </c>
      <c r="J125" s="352">
        <f ca="1">F163</f>
        <v>398.88155307441872</v>
      </c>
      <c r="K125" s="32"/>
      <c r="L125" s="32"/>
      <c r="M125" s="32"/>
      <c r="N125" s="32"/>
    </row>
    <row r="126" spans="1:17" ht="15" thickBot="1" x14ac:dyDescent="0.25">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 ca="1">J125+J91</f>
        <v>2079.2936185042017</v>
      </c>
      <c r="K126" s="32"/>
      <c r="L126" s="32"/>
      <c r="M126" s="32"/>
      <c r="N126" s="32"/>
    </row>
    <row r="127" spans="1:17" x14ac:dyDescent="0.2">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x14ac:dyDescent="0.2">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x14ac:dyDescent="0.2">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x14ac:dyDescent="0.2">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x14ac:dyDescent="0.2">
      <c r="A131" s="32"/>
      <c r="B131" s="215" t="str">
        <f>'G-2 Habitat groups'!AU119</f>
        <v>Grassland - Modified grassland</v>
      </c>
      <c r="C131" s="79" t="str">
        <f>'G-2 Habitat groups'!AV119</f>
        <v>Grassland</v>
      </c>
      <c r="D131" s="358">
        <f ca="1">'G-2 Habitat groups'!BB119</f>
        <v>2420.2389607221749</v>
      </c>
      <c r="E131" s="358">
        <f>'G-2 Habitat groups'!BD119</f>
        <v>0</v>
      </c>
      <c r="F131" s="347">
        <f ca="1">'G-2 Habitat groups'!BE119</f>
        <v>2420.2389607221749</v>
      </c>
      <c r="G131" s="32"/>
      <c r="H131" s="32"/>
      <c r="I131" s="32"/>
      <c r="J131" s="32"/>
      <c r="K131" s="32"/>
      <c r="L131" s="32"/>
      <c r="M131" s="32"/>
      <c r="N131" s="32"/>
    </row>
    <row r="132" spans="1:14" x14ac:dyDescent="0.2">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x14ac:dyDescent="0.2">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x14ac:dyDescent="0.2">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x14ac:dyDescent="0.2">
      <c r="A135" s="32"/>
      <c r="B135" s="215" t="str">
        <f>'G-2 Habitat groups'!AU123</f>
        <v>Sparsely vegetated land - Ruderal/ephemeral</v>
      </c>
      <c r="C135" s="79" t="str">
        <f>'G-2 Habitat groups'!AV123</f>
        <v>Sparsely vegetated land</v>
      </c>
      <c r="D135" s="358">
        <f>'G-2 Habitat groups'!BB123</f>
        <v>-64.37083245568688</v>
      </c>
      <c r="E135" s="358">
        <f>'G-2 Habitat groups'!BD123</f>
        <v>0</v>
      </c>
      <c r="F135" s="347">
        <f>'G-2 Habitat groups'!BE123</f>
        <v>-64.37083245568688</v>
      </c>
      <c r="G135" s="32"/>
      <c r="H135" s="32"/>
      <c r="I135" s="32"/>
      <c r="J135" s="32"/>
      <c r="K135" s="32"/>
      <c r="L135" s="32"/>
      <c r="M135" s="32"/>
      <c r="N135" s="32"/>
    </row>
    <row r="136" spans="1:14" x14ac:dyDescent="0.2">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x14ac:dyDescent="0.2">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x14ac:dyDescent="0.2">
      <c r="A138" s="32"/>
      <c r="B138" s="215" t="str">
        <f>'G-2 Habitat groups'!AU134</f>
        <v>Urban - Bare ground</v>
      </c>
      <c r="C138" s="79" t="str">
        <f>'G-2 Habitat groups'!AV134</f>
        <v>Urban</v>
      </c>
      <c r="D138" s="358">
        <f>'G-2 Habitat groups'!BB134</f>
        <v>-0.75536063857985458</v>
      </c>
      <c r="E138" s="358">
        <f>'G-2 Habitat groups'!BD134</f>
        <v>0</v>
      </c>
      <c r="F138" s="347">
        <f>'G-2 Habitat groups'!BE134</f>
        <v>-0.75536063857985458</v>
      </c>
      <c r="G138" s="32"/>
      <c r="H138" s="32"/>
      <c r="I138" s="32"/>
      <c r="J138" s="32"/>
      <c r="K138" s="32"/>
      <c r="L138" s="32"/>
      <c r="M138" s="32"/>
      <c r="N138" s="32"/>
    </row>
    <row r="139" spans="1:14" x14ac:dyDescent="0.2">
      <c r="A139" s="32"/>
      <c r="B139" s="215" t="str">
        <f>'G-2 Habitat groups'!AU125</f>
        <v>Urban - Allotments</v>
      </c>
      <c r="C139" s="79" t="str">
        <f>'G-2 Habitat groups'!AV125</f>
        <v>Urban</v>
      </c>
      <c r="D139" s="358">
        <f>'G-2 Habitat groups'!BB125</f>
        <v>138.01928420492266</v>
      </c>
      <c r="E139" s="358">
        <f>'G-2 Habitat groups'!BD125</f>
        <v>0</v>
      </c>
      <c r="F139" s="347">
        <f>'G-2 Habitat groups'!BE125</f>
        <v>138.01928420492266</v>
      </c>
      <c r="G139" s="32"/>
      <c r="H139" s="32"/>
      <c r="I139" s="32"/>
      <c r="J139" s="32"/>
      <c r="K139" s="32"/>
      <c r="L139" s="32"/>
      <c r="M139" s="32"/>
      <c r="N139" s="32"/>
    </row>
    <row r="140" spans="1:14" x14ac:dyDescent="0.2">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x14ac:dyDescent="0.2">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x14ac:dyDescent="0.2">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x14ac:dyDescent="0.2">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x14ac:dyDescent="0.2">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x14ac:dyDescent="0.2">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x14ac:dyDescent="0.2">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x14ac:dyDescent="0.2">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x14ac:dyDescent="0.2">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x14ac:dyDescent="0.2">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x14ac:dyDescent="0.2">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x14ac:dyDescent="0.2">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x14ac:dyDescent="0.2">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x14ac:dyDescent="0.2">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x14ac:dyDescent="0.2">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x14ac:dyDescent="0.2">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x14ac:dyDescent="0.2">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x14ac:dyDescent="0.2">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x14ac:dyDescent="0.2">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x14ac:dyDescent="0.2">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x14ac:dyDescent="0.2">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x14ac:dyDescent="0.2">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 thickBot="1" x14ac:dyDescent="0.25">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 thickBot="1" x14ac:dyDescent="0.25">
      <c r="A163" s="32"/>
      <c r="B163" s="32"/>
      <c r="C163" s="32"/>
      <c r="D163" s="414">
        <f ca="1">SUM(D125:D162)</f>
        <v>398.88155307441872</v>
      </c>
      <c r="E163" s="133"/>
      <c r="F163" s="414">
        <f ca="1">SUM(F125:F162)</f>
        <v>398.88155307441872</v>
      </c>
      <c r="G163" s="32"/>
      <c r="H163" s="32"/>
      <c r="I163" s="32"/>
      <c r="J163" s="32"/>
      <c r="K163" s="32"/>
      <c r="L163" s="32"/>
      <c r="M163" s="32"/>
      <c r="N163" s="32"/>
      <c r="O163" s="32"/>
      <c r="P163" s="32"/>
      <c r="Q163" s="32"/>
    </row>
    <row r="164" spans="1:17" x14ac:dyDescent="0.2">
      <c r="A164" s="32"/>
      <c r="G164" s="32"/>
      <c r="H164" s="32"/>
      <c r="I164" s="32"/>
      <c r="J164" s="32"/>
      <c r="K164" s="32"/>
      <c r="L164" s="32"/>
      <c r="M164" s="32"/>
      <c r="N164" s="32"/>
      <c r="O164" s="32"/>
      <c r="P164" s="32"/>
      <c r="Q164" s="32"/>
    </row>
    <row r="165" spans="1:17" hidden="1" x14ac:dyDescent="0.2">
      <c r="A165" s="32"/>
      <c r="B165" s="32"/>
      <c r="C165" s="32"/>
      <c r="D165" s="32"/>
      <c r="E165" s="32"/>
      <c r="F165" s="32"/>
      <c r="G165" s="32"/>
      <c r="H165" s="32"/>
      <c r="I165" s="32"/>
      <c r="J165" s="32"/>
      <c r="K165" s="32"/>
      <c r="L165" s="32"/>
      <c r="M165" s="32"/>
      <c r="N165" s="32"/>
      <c r="O165" s="32"/>
      <c r="P165" s="32"/>
      <c r="Q165" s="32"/>
    </row>
    <row r="166" spans="1:17" hidden="1" x14ac:dyDescent="0.2">
      <c r="A166" s="32"/>
      <c r="B166" s="32"/>
      <c r="C166" s="32"/>
      <c r="D166" s="32"/>
      <c r="E166" s="32"/>
      <c r="F166" s="32"/>
      <c r="G166" s="32"/>
      <c r="H166" s="32"/>
      <c r="I166" s="32"/>
      <c r="J166" s="32"/>
      <c r="K166" s="32"/>
      <c r="L166" s="32"/>
      <c r="M166" s="32"/>
      <c r="N166" s="32"/>
      <c r="O166" s="32"/>
      <c r="P166" s="32"/>
      <c r="Q166" s="32"/>
    </row>
    <row r="167" spans="1:17" hidden="1" x14ac:dyDescent="0.2">
      <c r="A167" s="32"/>
      <c r="B167" s="32"/>
      <c r="C167" s="32"/>
      <c r="D167" s="32"/>
      <c r="E167" s="32"/>
      <c r="F167" s="32"/>
      <c r="G167" s="32"/>
      <c r="H167" s="32"/>
      <c r="I167" s="32"/>
      <c r="J167" s="32"/>
      <c r="K167" s="32"/>
      <c r="L167" s="32"/>
      <c r="M167" s="32"/>
      <c r="N167" s="32"/>
      <c r="O167" s="32"/>
      <c r="P167" s="32"/>
      <c r="Q167" s="32"/>
    </row>
    <row r="168" spans="1:17" hidden="1" x14ac:dyDescent="0.2">
      <c r="A168" s="32"/>
      <c r="B168" s="32"/>
      <c r="C168" s="32"/>
      <c r="D168" s="32"/>
      <c r="E168" s="32"/>
      <c r="F168" s="32"/>
      <c r="G168" s="32"/>
      <c r="H168" s="32"/>
      <c r="I168" s="32"/>
      <c r="J168" s="32"/>
      <c r="K168" s="32"/>
      <c r="L168" s="32"/>
      <c r="M168" s="32"/>
      <c r="N168" s="32"/>
      <c r="O168" s="32"/>
      <c r="P168" s="32"/>
      <c r="Q168" s="32"/>
    </row>
    <row r="169" spans="1:17" hidden="1" x14ac:dyDescent="0.2">
      <c r="A169" s="32"/>
      <c r="B169" s="32"/>
      <c r="C169" s="32"/>
      <c r="D169" s="32"/>
      <c r="E169" s="32"/>
      <c r="F169" s="32"/>
      <c r="G169" s="32"/>
      <c r="H169" s="32"/>
      <c r="I169" s="32"/>
      <c r="J169" s="32"/>
      <c r="K169" s="32"/>
      <c r="L169" s="32"/>
      <c r="M169" s="32"/>
      <c r="N169" s="32"/>
      <c r="O169" s="32"/>
      <c r="P169" s="32"/>
      <c r="Q169" s="32"/>
    </row>
    <row r="170" spans="1:17" hidden="1" x14ac:dyDescent="0.2">
      <c r="A170" s="32"/>
      <c r="B170" s="32"/>
      <c r="C170" s="32"/>
      <c r="D170" s="32"/>
      <c r="E170" s="32"/>
      <c r="F170" s="32"/>
      <c r="G170" s="32"/>
      <c r="H170" s="32"/>
      <c r="I170" s="32"/>
      <c r="J170" s="32"/>
      <c r="K170" s="32"/>
      <c r="L170" s="32"/>
      <c r="M170" s="32"/>
      <c r="N170" s="32"/>
      <c r="O170" s="32"/>
      <c r="P170" s="32"/>
      <c r="Q170" s="32"/>
    </row>
    <row r="171" spans="1:17" hidden="1" x14ac:dyDescent="0.2">
      <c r="A171" s="32"/>
      <c r="B171" s="32"/>
      <c r="C171" s="32"/>
      <c r="D171" s="32"/>
      <c r="E171" s="32"/>
      <c r="F171" s="32"/>
      <c r="G171" s="32"/>
      <c r="H171" s="32"/>
      <c r="I171" s="32"/>
      <c r="J171" s="32"/>
      <c r="K171" s="32"/>
      <c r="L171" s="32"/>
      <c r="M171" s="32"/>
      <c r="N171" s="32"/>
      <c r="O171" s="32"/>
      <c r="P171" s="32"/>
      <c r="Q171" s="32"/>
    </row>
    <row r="172" spans="1:17" hidden="1" x14ac:dyDescent="0.2">
      <c r="A172" s="32"/>
      <c r="B172" s="32"/>
      <c r="C172" s="32"/>
      <c r="D172" s="32"/>
      <c r="E172" s="32"/>
      <c r="F172" s="32"/>
      <c r="G172" s="32"/>
      <c r="H172" s="32"/>
      <c r="I172" s="32"/>
      <c r="J172" s="32"/>
      <c r="K172" s="32"/>
      <c r="L172" s="32"/>
      <c r="M172" s="32"/>
      <c r="N172" s="32"/>
      <c r="O172" s="32"/>
      <c r="P172" s="32"/>
      <c r="Q172" s="32"/>
    </row>
    <row r="173" spans="1:17" hidden="1" x14ac:dyDescent="0.2">
      <c r="A173" s="32"/>
      <c r="B173" s="32"/>
      <c r="C173" s="32"/>
      <c r="D173" s="32"/>
      <c r="E173" s="32"/>
      <c r="F173" s="32"/>
      <c r="G173" s="32"/>
      <c r="H173" s="32"/>
      <c r="I173" s="32"/>
      <c r="J173" s="32"/>
      <c r="K173" s="32"/>
      <c r="L173" s="32"/>
      <c r="M173" s="32"/>
      <c r="N173" s="32"/>
      <c r="O173" s="32"/>
      <c r="P173" s="32"/>
      <c r="Q173" s="32"/>
    </row>
    <row r="174" spans="1:17" hidden="1" x14ac:dyDescent="0.2">
      <c r="A174" s="32"/>
      <c r="B174" s="32"/>
      <c r="C174" s="32"/>
      <c r="D174" s="32"/>
      <c r="E174" s="32"/>
      <c r="F174" s="32"/>
      <c r="G174" s="32"/>
      <c r="H174" s="32"/>
      <c r="I174" s="32"/>
      <c r="J174" s="32"/>
      <c r="K174" s="32"/>
      <c r="L174" s="32"/>
      <c r="M174" s="32"/>
      <c r="N174" s="32"/>
      <c r="O174" s="32"/>
      <c r="P174" s="32"/>
      <c r="Q174" s="32"/>
    </row>
    <row r="175" spans="1:17" hidden="1" x14ac:dyDescent="0.2">
      <c r="A175" s="32"/>
      <c r="B175" s="32"/>
      <c r="C175" s="32"/>
      <c r="D175" s="32"/>
      <c r="E175" s="32"/>
      <c r="F175" s="32"/>
      <c r="G175" s="32"/>
      <c r="H175" s="32"/>
      <c r="I175" s="32"/>
      <c r="J175" s="32"/>
      <c r="K175" s="32"/>
      <c r="L175" s="32"/>
      <c r="M175" s="32"/>
      <c r="N175" s="32"/>
      <c r="O175" s="32"/>
      <c r="P175" s="32"/>
      <c r="Q175" s="32"/>
    </row>
    <row r="176" spans="1:17" hidden="1" x14ac:dyDescent="0.2">
      <c r="A176" s="32"/>
      <c r="B176" s="32"/>
      <c r="C176" s="32"/>
      <c r="D176" s="32"/>
      <c r="E176" s="32"/>
      <c r="F176" s="32"/>
      <c r="G176" s="32"/>
      <c r="H176" s="32"/>
      <c r="I176" s="32"/>
      <c r="J176" s="32"/>
      <c r="K176" s="32"/>
      <c r="L176" s="32"/>
      <c r="M176" s="32"/>
      <c r="N176" s="32"/>
      <c r="O176" s="32"/>
      <c r="P176" s="32"/>
      <c r="Q176" s="32"/>
    </row>
    <row r="177" spans="1:17" hidden="1" x14ac:dyDescent="0.2">
      <c r="A177" s="32"/>
      <c r="B177" s="32"/>
      <c r="C177" s="32"/>
      <c r="D177" s="32"/>
      <c r="E177" s="32"/>
      <c r="F177" s="32"/>
      <c r="G177" s="32"/>
      <c r="H177" s="32"/>
      <c r="I177" s="32"/>
      <c r="J177" s="32"/>
      <c r="K177" s="32"/>
      <c r="L177" s="32"/>
      <c r="M177" s="32"/>
      <c r="N177" s="32"/>
      <c r="O177" s="32"/>
      <c r="P177" s="32"/>
      <c r="Q177" s="32"/>
    </row>
    <row r="178" spans="1:17" hidden="1" x14ac:dyDescent="0.2">
      <c r="A178" s="32"/>
      <c r="B178" s="32"/>
      <c r="C178" s="32"/>
      <c r="D178" s="32"/>
      <c r="E178" s="32"/>
      <c r="F178" s="32"/>
      <c r="G178" s="32"/>
      <c r="H178" s="32"/>
      <c r="I178" s="32"/>
      <c r="J178" s="32"/>
      <c r="K178" s="32"/>
      <c r="L178" s="32"/>
      <c r="M178" s="32"/>
      <c r="N178" s="32"/>
      <c r="O178" s="32"/>
      <c r="P178" s="32"/>
      <c r="Q178" s="32"/>
    </row>
    <row r="179" spans="1:17" hidden="1" x14ac:dyDescent="0.2">
      <c r="A179" s="32"/>
      <c r="B179" s="32"/>
      <c r="C179" s="32"/>
      <c r="D179" s="32"/>
      <c r="E179" s="32"/>
      <c r="F179" s="32"/>
      <c r="G179" s="32"/>
      <c r="H179" s="32"/>
      <c r="I179" s="32"/>
      <c r="J179" s="32"/>
      <c r="K179" s="32"/>
      <c r="L179" s="32"/>
      <c r="M179" s="32"/>
      <c r="N179" s="32"/>
      <c r="O179" s="32"/>
      <c r="P179" s="32"/>
      <c r="Q179" s="32"/>
    </row>
    <row r="180" spans="1:17" hidden="1" x14ac:dyDescent="0.2">
      <c r="A180" s="32"/>
      <c r="B180" s="32"/>
      <c r="C180" s="32"/>
      <c r="D180" s="32"/>
      <c r="E180" s="32"/>
      <c r="F180" s="32"/>
      <c r="G180" s="32"/>
      <c r="H180" s="32"/>
      <c r="I180" s="32"/>
      <c r="J180" s="32"/>
      <c r="K180" s="32"/>
      <c r="L180" s="32"/>
      <c r="M180" s="32"/>
      <c r="N180" s="32"/>
      <c r="O180" s="32"/>
      <c r="P180" s="32"/>
      <c r="Q180" s="32"/>
    </row>
    <row r="181" spans="1:17" hidden="1" x14ac:dyDescent="0.2">
      <c r="A181" s="32"/>
      <c r="B181" s="32"/>
      <c r="C181" s="32"/>
      <c r="D181" s="32"/>
      <c r="E181" s="32"/>
      <c r="F181" s="32"/>
      <c r="G181" s="32"/>
      <c r="H181" s="32"/>
      <c r="I181" s="32"/>
      <c r="J181" s="32"/>
      <c r="K181" s="32"/>
      <c r="L181" s="32"/>
      <c r="M181" s="32"/>
      <c r="N181" s="32"/>
      <c r="O181" s="32"/>
      <c r="P181" s="32"/>
      <c r="Q181" s="32"/>
    </row>
    <row r="182" spans="1:17" hidden="1" x14ac:dyDescent="0.2">
      <c r="A182" s="32"/>
      <c r="B182" s="32"/>
      <c r="C182" s="32"/>
      <c r="D182" s="32"/>
      <c r="E182" s="32"/>
      <c r="F182" s="32"/>
      <c r="G182" s="32"/>
      <c r="H182" s="32"/>
      <c r="I182" s="32"/>
      <c r="J182" s="32"/>
      <c r="K182" s="32"/>
      <c r="L182" s="32"/>
      <c r="M182" s="32"/>
      <c r="N182" s="32"/>
      <c r="O182" s="32"/>
      <c r="P182" s="32"/>
      <c r="Q182" s="32"/>
    </row>
    <row r="183" spans="1:17" hidden="1" x14ac:dyDescent="0.2">
      <c r="A183" s="32"/>
      <c r="B183" s="32"/>
      <c r="C183" s="32"/>
      <c r="D183" s="32"/>
      <c r="E183" s="32"/>
      <c r="F183" s="32"/>
      <c r="G183" s="32"/>
      <c r="H183" s="32"/>
      <c r="I183" s="32"/>
      <c r="J183" s="32"/>
      <c r="K183" s="32"/>
      <c r="L183" s="32"/>
      <c r="M183" s="32"/>
      <c r="N183" s="32"/>
      <c r="O183" s="32"/>
      <c r="P183" s="32"/>
      <c r="Q183" s="32"/>
    </row>
    <row r="184" spans="1:17" hidden="1" x14ac:dyDescent="0.2">
      <c r="A184" s="32"/>
      <c r="B184" s="32"/>
      <c r="C184" s="32"/>
      <c r="D184" s="32"/>
      <c r="E184" s="32"/>
      <c r="F184" s="32"/>
      <c r="G184" s="32"/>
      <c r="H184" s="32"/>
      <c r="I184" s="32"/>
      <c r="J184" s="32"/>
      <c r="K184" s="32"/>
      <c r="L184" s="32"/>
      <c r="M184" s="32"/>
      <c r="N184" s="32"/>
      <c r="O184" s="32"/>
      <c r="P184" s="32"/>
      <c r="Q184" s="32"/>
    </row>
    <row r="185" spans="1:17" hidden="1" x14ac:dyDescent="0.2">
      <c r="A185" s="32"/>
      <c r="B185" s="32"/>
      <c r="C185" s="32"/>
      <c r="D185" s="32"/>
      <c r="E185" s="32"/>
      <c r="F185" s="32"/>
      <c r="G185" s="32"/>
      <c r="H185" s="32"/>
      <c r="I185" s="32"/>
      <c r="J185" s="32"/>
      <c r="K185" s="32"/>
      <c r="L185" s="32"/>
      <c r="M185" s="32"/>
      <c r="N185" s="32"/>
      <c r="O185" s="32"/>
      <c r="P185" s="32"/>
      <c r="Q185" s="32"/>
    </row>
    <row r="186" spans="1:17" hidden="1" x14ac:dyDescent="0.2">
      <c r="A186" s="32"/>
      <c r="B186" s="32"/>
      <c r="C186" s="32"/>
      <c r="D186" s="32"/>
      <c r="E186" s="32"/>
      <c r="F186" s="32"/>
      <c r="G186" s="32"/>
      <c r="H186" s="32"/>
      <c r="I186" s="32"/>
      <c r="J186" s="32"/>
      <c r="K186" s="32"/>
      <c r="L186" s="32"/>
      <c r="M186" s="32"/>
      <c r="N186" s="32"/>
      <c r="O186" s="32"/>
      <c r="P186" s="32"/>
      <c r="Q186" s="32"/>
    </row>
    <row r="187" spans="1:17" hidden="1" x14ac:dyDescent="0.2">
      <c r="A187" s="32"/>
      <c r="B187" s="32"/>
      <c r="C187" s="32"/>
      <c r="D187" s="32"/>
      <c r="E187" s="32"/>
      <c r="F187" s="32"/>
      <c r="G187" s="32"/>
      <c r="H187" s="32"/>
      <c r="I187" s="32"/>
      <c r="J187" s="32"/>
      <c r="K187" s="32"/>
      <c r="L187" s="32"/>
      <c r="M187" s="32"/>
      <c r="N187" s="32"/>
      <c r="O187" s="32"/>
      <c r="P187" s="32"/>
      <c r="Q187" s="32"/>
    </row>
    <row r="188" spans="1:17" hidden="1" x14ac:dyDescent="0.2">
      <c r="A188" s="32"/>
      <c r="B188" s="32"/>
      <c r="C188" s="32"/>
      <c r="D188" s="32"/>
      <c r="E188" s="32"/>
      <c r="F188" s="32"/>
      <c r="G188" s="32"/>
      <c r="H188" s="32"/>
      <c r="I188" s="32"/>
      <c r="J188" s="32"/>
      <c r="K188" s="32"/>
      <c r="L188" s="32"/>
      <c r="M188" s="32"/>
      <c r="N188" s="32"/>
      <c r="O188" s="32"/>
      <c r="P188" s="32"/>
      <c r="Q188" s="32"/>
    </row>
    <row r="189" spans="1:17" hidden="1" x14ac:dyDescent="0.2">
      <c r="A189" s="32"/>
      <c r="B189" s="32"/>
      <c r="C189" s="32"/>
      <c r="D189" s="32"/>
      <c r="E189" s="32"/>
      <c r="F189" s="32"/>
      <c r="G189" s="32"/>
      <c r="H189" s="32"/>
      <c r="I189" s="32"/>
      <c r="J189" s="32"/>
      <c r="K189" s="32"/>
      <c r="L189" s="32"/>
      <c r="M189" s="32"/>
      <c r="N189" s="32"/>
      <c r="O189" s="32"/>
      <c r="P189" s="32"/>
      <c r="Q189" s="32"/>
    </row>
    <row r="190" spans="1:17" hidden="1" x14ac:dyDescent="0.2">
      <c r="A190" s="32"/>
      <c r="B190" s="32"/>
      <c r="C190" s="32"/>
      <c r="D190" s="32"/>
      <c r="E190" s="32"/>
      <c r="F190" s="32"/>
      <c r="G190" s="32"/>
      <c r="H190" s="32"/>
      <c r="I190" s="32"/>
      <c r="J190" s="32"/>
      <c r="K190" s="32"/>
      <c r="L190" s="32"/>
      <c r="M190" s="32"/>
      <c r="N190" s="32"/>
      <c r="O190" s="32"/>
      <c r="P190" s="32"/>
      <c r="Q190" s="32"/>
    </row>
    <row r="191" spans="1:17" hidden="1" x14ac:dyDescent="0.2">
      <c r="A191" s="32"/>
      <c r="B191" s="32"/>
      <c r="C191" s="32"/>
      <c r="D191" s="32"/>
      <c r="E191" s="32"/>
      <c r="F191" s="32"/>
      <c r="G191" s="32"/>
      <c r="H191" s="32"/>
      <c r="I191" s="32"/>
      <c r="J191" s="32"/>
      <c r="K191" s="32"/>
      <c r="L191" s="32"/>
      <c r="M191" s="32"/>
      <c r="N191" s="32"/>
      <c r="O191" s="32"/>
      <c r="P191" s="32"/>
      <c r="Q191" s="32"/>
    </row>
    <row r="192" spans="1:17" hidden="1" x14ac:dyDescent="0.2">
      <c r="A192" s="32"/>
      <c r="B192" s="32"/>
      <c r="C192" s="32"/>
      <c r="D192" s="32"/>
      <c r="E192" s="32"/>
      <c r="F192" s="32"/>
      <c r="G192" s="32"/>
      <c r="H192" s="32"/>
      <c r="I192" s="32"/>
      <c r="J192" s="32"/>
      <c r="K192" s="32"/>
      <c r="L192" s="32"/>
      <c r="M192" s="32"/>
      <c r="N192" s="32"/>
      <c r="O192" s="32"/>
      <c r="P192" s="32"/>
      <c r="Q192" s="32"/>
    </row>
    <row r="193" spans="1:17" hidden="1" x14ac:dyDescent="0.2">
      <c r="A193" s="32"/>
      <c r="B193" s="32"/>
      <c r="C193" s="32"/>
      <c r="D193" s="32"/>
      <c r="E193" s="32"/>
      <c r="F193" s="32"/>
      <c r="G193" s="32"/>
      <c r="H193" s="32"/>
      <c r="I193" s="32"/>
      <c r="J193" s="32"/>
      <c r="K193" s="32"/>
      <c r="L193" s="32"/>
      <c r="M193" s="32"/>
      <c r="N193" s="32"/>
      <c r="O193" s="32"/>
      <c r="P193" s="32"/>
      <c r="Q193" s="32"/>
    </row>
    <row r="194" spans="1:17" hidden="1" x14ac:dyDescent="0.2">
      <c r="A194" s="32"/>
      <c r="B194" s="32"/>
      <c r="C194" s="32"/>
      <c r="D194" s="32"/>
      <c r="E194" s="32"/>
      <c r="F194" s="32"/>
      <c r="G194" s="32"/>
      <c r="H194" s="32"/>
      <c r="I194" s="32"/>
      <c r="J194" s="32"/>
      <c r="K194" s="32"/>
      <c r="L194" s="32"/>
      <c r="M194" s="32"/>
      <c r="N194" s="32"/>
      <c r="O194" s="32"/>
      <c r="P194" s="32"/>
      <c r="Q194" s="32"/>
    </row>
    <row r="195" spans="1:17" hidden="1" x14ac:dyDescent="0.2">
      <c r="A195" s="32"/>
      <c r="B195" s="32"/>
      <c r="C195" s="32"/>
      <c r="D195" s="32"/>
      <c r="E195" s="32"/>
      <c r="F195" s="32"/>
      <c r="G195" s="32"/>
      <c r="H195" s="32"/>
      <c r="I195" s="32"/>
      <c r="J195" s="32"/>
      <c r="K195" s="32"/>
      <c r="L195" s="32"/>
      <c r="M195" s="32"/>
      <c r="N195" s="32"/>
      <c r="O195" s="32"/>
      <c r="P195" s="32"/>
      <c r="Q195" s="32"/>
    </row>
    <row r="196" spans="1:17" hidden="1" x14ac:dyDescent="0.2">
      <c r="A196" s="32"/>
      <c r="B196" s="32"/>
      <c r="C196" s="32"/>
      <c r="D196" s="32"/>
      <c r="E196" s="32"/>
      <c r="F196" s="32"/>
      <c r="G196" s="32"/>
      <c r="H196" s="32"/>
      <c r="I196" s="32"/>
      <c r="J196" s="32"/>
      <c r="K196" s="32"/>
      <c r="L196" s="32"/>
      <c r="M196" s="32"/>
      <c r="N196" s="32"/>
      <c r="O196" s="32"/>
      <c r="P196" s="32"/>
      <c r="Q196" s="32"/>
    </row>
    <row r="197" spans="1:17" hidden="1" x14ac:dyDescent="0.2">
      <c r="A197" s="32"/>
      <c r="B197" s="32"/>
      <c r="C197" s="32"/>
      <c r="D197" s="32"/>
      <c r="E197" s="32"/>
      <c r="F197" s="32"/>
      <c r="G197" s="32"/>
      <c r="H197" s="32"/>
      <c r="I197" s="32"/>
      <c r="J197" s="32"/>
      <c r="K197" s="32"/>
      <c r="L197" s="32"/>
      <c r="M197" s="32"/>
      <c r="N197" s="32"/>
      <c r="O197" s="32"/>
      <c r="P197" s="32"/>
      <c r="Q197" s="32"/>
    </row>
    <row r="198" spans="1:17" hidden="1" x14ac:dyDescent="0.2">
      <c r="A198" s="32"/>
      <c r="B198" s="32"/>
      <c r="C198" s="32"/>
      <c r="D198" s="32"/>
      <c r="E198" s="32"/>
      <c r="F198" s="32"/>
      <c r="G198" s="32"/>
      <c r="H198" s="32"/>
      <c r="I198" s="32"/>
      <c r="J198" s="32"/>
      <c r="K198" s="32"/>
      <c r="L198" s="32"/>
      <c r="M198" s="32"/>
      <c r="N198" s="32"/>
      <c r="O198" s="32"/>
      <c r="P198" s="32"/>
      <c r="Q198" s="32"/>
    </row>
    <row r="199" spans="1:17" hidden="1" x14ac:dyDescent="0.2">
      <c r="A199" s="32"/>
      <c r="B199" s="32"/>
      <c r="C199" s="32"/>
      <c r="D199" s="32"/>
      <c r="E199" s="32"/>
      <c r="F199" s="32"/>
      <c r="G199" s="32"/>
      <c r="H199" s="32"/>
      <c r="I199" s="32"/>
      <c r="J199" s="32"/>
      <c r="K199" s="32"/>
      <c r="L199" s="32"/>
      <c r="M199" s="32"/>
      <c r="N199" s="32"/>
      <c r="O199" s="32"/>
      <c r="P199" s="32"/>
      <c r="Q199" s="32"/>
    </row>
    <row r="200" spans="1:17" hidden="1" x14ac:dyDescent="0.2">
      <c r="A200" s="32"/>
      <c r="B200" s="32"/>
      <c r="C200" s="32"/>
      <c r="D200" s="32"/>
      <c r="E200" s="32"/>
      <c r="F200" s="32"/>
      <c r="G200" s="32"/>
      <c r="H200" s="32"/>
      <c r="I200" s="32"/>
      <c r="J200" s="32"/>
      <c r="K200" s="32"/>
      <c r="L200" s="32"/>
      <c r="M200" s="32"/>
      <c r="N200" s="32"/>
      <c r="O200" s="32"/>
      <c r="P200" s="32"/>
      <c r="Q200" s="32"/>
    </row>
    <row r="201" spans="1:17" hidden="1" x14ac:dyDescent="0.2">
      <c r="A201" s="32"/>
      <c r="B201" s="32"/>
      <c r="C201" s="32"/>
      <c r="D201" s="32"/>
      <c r="E201" s="32"/>
      <c r="F201" s="32"/>
      <c r="G201" s="32"/>
      <c r="H201" s="32"/>
      <c r="I201" s="32"/>
      <c r="J201" s="32"/>
      <c r="K201" s="32"/>
      <c r="L201" s="32"/>
      <c r="M201" s="32"/>
      <c r="N201" s="32"/>
      <c r="O201" s="32"/>
      <c r="P201" s="32"/>
      <c r="Q201" s="32"/>
    </row>
    <row r="202" spans="1:17" hidden="1" x14ac:dyDescent="0.2">
      <c r="A202" s="32"/>
      <c r="B202" s="32"/>
      <c r="C202" s="32"/>
      <c r="D202" s="32"/>
      <c r="E202" s="32"/>
      <c r="F202" s="32"/>
      <c r="G202" s="32"/>
      <c r="H202" s="32"/>
      <c r="I202" s="32"/>
      <c r="J202" s="32"/>
      <c r="K202" s="32"/>
      <c r="L202" s="32"/>
      <c r="M202" s="32"/>
      <c r="N202" s="32"/>
      <c r="O202" s="32"/>
      <c r="P202" s="32"/>
      <c r="Q202" s="32"/>
    </row>
    <row r="203" spans="1:17" hidden="1" x14ac:dyDescent="0.2">
      <c r="A203" s="32"/>
      <c r="B203" s="32"/>
      <c r="C203" s="32"/>
      <c r="D203" s="32"/>
      <c r="E203" s="32"/>
      <c r="F203" s="32"/>
      <c r="G203" s="32"/>
      <c r="H203" s="32"/>
      <c r="I203" s="32"/>
      <c r="J203" s="32"/>
      <c r="K203" s="32"/>
      <c r="L203" s="32"/>
      <c r="M203" s="32"/>
      <c r="N203" s="32"/>
      <c r="O203" s="32"/>
      <c r="P203" s="32"/>
      <c r="Q203" s="32"/>
    </row>
    <row r="204" spans="1:17" hidden="1" x14ac:dyDescent="0.2">
      <c r="A204" s="32"/>
      <c r="B204" s="32"/>
      <c r="C204" s="32"/>
      <c r="D204" s="32"/>
      <c r="E204" s="32"/>
      <c r="F204" s="32"/>
      <c r="G204" s="32"/>
      <c r="H204" s="32"/>
      <c r="I204" s="32"/>
      <c r="J204" s="32"/>
      <c r="K204" s="32"/>
      <c r="L204" s="32"/>
      <c r="M204" s="32"/>
      <c r="N204" s="32"/>
      <c r="O204" s="32"/>
      <c r="P204" s="32"/>
      <c r="Q204" s="32"/>
    </row>
    <row r="205" spans="1:17" hidden="1" x14ac:dyDescent="0.2">
      <c r="A205" s="32"/>
      <c r="B205" s="32"/>
      <c r="C205" s="32"/>
      <c r="D205" s="32"/>
      <c r="E205" s="32"/>
      <c r="F205" s="32"/>
      <c r="G205" s="32"/>
      <c r="H205" s="32"/>
      <c r="I205" s="32"/>
      <c r="J205" s="32"/>
      <c r="K205" s="32"/>
      <c r="L205" s="32"/>
      <c r="M205" s="32"/>
      <c r="N205" s="32"/>
      <c r="O205" s="32"/>
      <c r="P205" s="32"/>
      <c r="Q205" s="32"/>
    </row>
    <row r="206" spans="1:17" hidden="1" x14ac:dyDescent="0.2">
      <c r="A206" s="32"/>
      <c r="B206" s="32"/>
      <c r="C206" s="32"/>
      <c r="D206" s="32"/>
      <c r="E206" s="32"/>
      <c r="F206" s="32"/>
      <c r="G206" s="32"/>
      <c r="H206" s="32"/>
      <c r="I206" s="32"/>
      <c r="J206" s="32"/>
      <c r="K206" s="32"/>
      <c r="L206" s="32"/>
      <c r="M206" s="32"/>
      <c r="N206" s="32"/>
      <c r="O206" s="32"/>
      <c r="P206" s="32"/>
      <c r="Q206" s="32"/>
    </row>
    <row r="207" spans="1:17" hidden="1" x14ac:dyDescent="0.2">
      <c r="A207" s="32"/>
      <c r="B207" s="32"/>
      <c r="C207" s="32"/>
      <c r="D207" s="32"/>
      <c r="E207" s="32"/>
      <c r="F207" s="32"/>
      <c r="G207" s="32"/>
      <c r="H207" s="32"/>
      <c r="I207" s="32"/>
      <c r="J207" s="32"/>
      <c r="K207" s="32"/>
      <c r="L207" s="32"/>
      <c r="M207" s="32"/>
      <c r="N207" s="32"/>
      <c r="O207" s="32"/>
      <c r="P207" s="32"/>
      <c r="Q207" s="32"/>
    </row>
    <row r="208" spans="1:17" hidden="1" x14ac:dyDescent="0.2">
      <c r="A208" s="32"/>
      <c r="B208" s="32"/>
      <c r="C208" s="32"/>
      <c r="D208" s="32"/>
      <c r="E208" s="32"/>
      <c r="F208" s="32"/>
      <c r="G208" s="32"/>
      <c r="H208" s="32"/>
      <c r="I208" s="32"/>
      <c r="J208" s="32"/>
      <c r="K208" s="32"/>
      <c r="L208" s="32"/>
      <c r="M208" s="32"/>
      <c r="N208" s="32"/>
      <c r="O208" s="32"/>
      <c r="P208" s="32"/>
      <c r="Q208" s="32"/>
    </row>
    <row r="209" spans="1:17" hidden="1" x14ac:dyDescent="0.2">
      <c r="A209" s="32"/>
      <c r="B209" s="32"/>
      <c r="C209" s="32"/>
      <c r="D209" s="32"/>
      <c r="E209" s="32"/>
      <c r="F209" s="32"/>
      <c r="G209" s="32"/>
      <c r="H209" s="32"/>
      <c r="I209" s="32"/>
      <c r="J209" s="32"/>
      <c r="K209" s="32"/>
      <c r="L209" s="32"/>
      <c r="M209" s="32"/>
      <c r="N209" s="32"/>
      <c r="O209" s="32"/>
      <c r="P209" s="32"/>
      <c r="Q209" s="32"/>
    </row>
    <row r="210" spans="1:17" hidden="1" x14ac:dyDescent="0.2">
      <c r="A210" s="32"/>
      <c r="B210" s="32"/>
      <c r="C210" s="32"/>
      <c r="D210" s="32"/>
      <c r="E210" s="32"/>
      <c r="F210" s="32"/>
      <c r="G210" s="32"/>
      <c r="H210" s="32"/>
      <c r="I210" s="32"/>
      <c r="J210" s="32"/>
      <c r="K210" s="32"/>
      <c r="L210" s="32"/>
      <c r="M210" s="32"/>
      <c r="N210" s="32"/>
      <c r="O210" s="32"/>
      <c r="P210" s="32"/>
      <c r="Q210" s="32"/>
    </row>
    <row r="211" spans="1:17" hidden="1" x14ac:dyDescent="0.2">
      <c r="A211" s="32"/>
      <c r="B211" s="32"/>
      <c r="C211" s="32"/>
      <c r="D211" s="32"/>
      <c r="E211" s="32"/>
      <c r="F211" s="32"/>
      <c r="G211" s="32"/>
      <c r="H211" s="32"/>
      <c r="I211" s="32"/>
      <c r="J211" s="32"/>
      <c r="K211" s="32"/>
      <c r="L211" s="32"/>
      <c r="M211" s="32"/>
      <c r="N211" s="32"/>
      <c r="O211" s="32"/>
      <c r="P211" s="32"/>
      <c r="Q211" s="32"/>
    </row>
    <row r="212" spans="1:17" hidden="1" x14ac:dyDescent="0.2">
      <c r="A212" s="32"/>
      <c r="B212" s="32"/>
      <c r="C212" s="32"/>
      <c r="D212" s="32"/>
      <c r="E212" s="32"/>
      <c r="F212" s="32"/>
      <c r="G212" s="32"/>
      <c r="H212" s="32"/>
      <c r="I212" s="32"/>
      <c r="J212" s="32"/>
      <c r="K212" s="32"/>
      <c r="L212" s="32"/>
      <c r="M212" s="32"/>
      <c r="N212" s="32"/>
      <c r="O212" s="32"/>
      <c r="P212" s="32"/>
      <c r="Q212" s="32"/>
    </row>
    <row r="213" spans="1:17" hidden="1" x14ac:dyDescent="0.2">
      <c r="A213" s="32"/>
      <c r="B213" s="32"/>
      <c r="C213" s="32"/>
      <c r="D213" s="32"/>
      <c r="E213" s="32"/>
      <c r="F213" s="32"/>
      <c r="G213" s="32"/>
      <c r="H213" s="32"/>
      <c r="I213" s="32"/>
      <c r="J213" s="32"/>
      <c r="K213" s="32"/>
      <c r="L213" s="32"/>
      <c r="M213" s="32"/>
      <c r="N213" s="32"/>
      <c r="O213" s="32"/>
      <c r="P213" s="32"/>
      <c r="Q213" s="32"/>
    </row>
    <row r="214" spans="1:17" hidden="1" x14ac:dyDescent="0.2">
      <c r="A214" s="32"/>
      <c r="B214" s="32"/>
      <c r="C214" s="32"/>
      <c r="D214" s="32"/>
      <c r="E214" s="32"/>
      <c r="F214" s="32"/>
      <c r="G214" s="32"/>
      <c r="H214" s="32"/>
      <c r="I214" s="32"/>
      <c r="J214" s="32"/>
      <c r="K214" s="32"/>
      <c r="L214" s="32"/>
      <c r="M214" s="32"/>
      <c r="N214" s="32"/>
      <c r="O214" s="32"/>
      <c r="P214" s="32"/>
      <c r="Q214" s="32"/>
    </row>
    <row r="215" spans="1:17" hidden="1" x14ac:dyDescent="0.2">
      <c r="A215" s="32"/>
      <c r="B215" s="32"/>
      <c r="C215" s="32"/>
      <c r="D215" s="32"/>
      <c r="E215" s="32"/>
      <c r="F215" s="32"/>
      <c r="G215" s="32"/>
      <c r="H215" s="32"/>
      <c r="I215" s="32"/>
      <c r="J215" s="32"/>
      <c r="K215" s="32"/>
      <c r="L215" s="32"/>
      <c r="M215" s="32"/>
      <c r="N215" s="32"/>
      <c r="O215" s="32"/>
      <c r="P215" s="32"/>
      <c r="Q215" s="32"/>
    </row>
    <row r="216" spans="1:17" hidden="1" x14ac:dyDescent="0.2">
      <c r="A216" s="32"/>
      <c r="B216" s="32"/>
      <c r="C216" s="32"/>
      <c r="D216" s="32"/>
      <c r="E216" s="32"/>
      <c r="F216" s="32"/>
      <c r="G216" s="32"/>
      <c r="H216" s="32"/>
      <c r="I216" s="32"/>
      <c r="J216" s="32"/>
      <c r="K216" s="32"/>
      <c r="L216" s="32"/>
      <c r="M216" s="32"/>
      <c r="N216" s="32"/>
      <c r="O216" s="32"/>
      <c r="P216" s="32"/>
      <c r="Q216" s="32"/>
    </row>
    <row r="217" spans="1:17" hidden="1" x14ac:dyDescent="0.2">
      <c r="A217" s="32"/>
      <c r="B217" s="32"/>
      <c r="C217" s="32"/>
      <c r="D217" s="32"/>
      <c r="E217" s="32"/>
      <c r="F217" s="32"/>
      <c r="G217" s="32"/>
      <c r="H217" s="32"/>
      <c r="I217" s="32"/>
      <c r="J217" s="32"/>
      <c r="K217" s="32"/>
      <c r="L217" s="32"/>
      <c r="M217" s="32"/>
      <c r="N217" s="32"/>
      <c r="O217" s="32"/>
      <c r="P217" s="32"/>
      <c r="Q217" s="32"/>
    </row>
    <row r="218" spans="1:17" hidden="1" x14ac:dyDescent="0.2">
      <c r="A218" s="32"/>
      <c r="B218" s="32"/>
      <c r="C218" s="32"/>
      <c r="D218" s="32"/>
      <c r="E218" s="32"/>
      <c r="F218" s="32"/>
      <c r="G218" s="32"/>
      <c r="H218" s="32"/>
      <c r="I218" s="32"/>
      <c r="J218" s="32"/>
      <c r="K218" s="32"/>
      <c r="L218" s="32"/>
      <c r="M218" s="32"/>
      <c r="N218" s="32"/>
      <c r="O218" s="32"/>
      <c r="P218" s="32"/>
      <c r="Q218" s="32"/>
    </row>
    <row r="219" spans="1:17" hidden="1" x14ac:dyDescent="0.2">
      <c r="A219" s="32"/>
      <c r="B219" s="32"/>
      <c r="C219" s="32"/>
      <c r="D219" s="32"/>
      <c r="E219" s="32"/>
      <c r="F219" s="32"/>
      <c r="G219" s="32"/>
      <c r="H219" s="32"/>
      <c r="I219" s="32"/>
      <c r="J219" s="32"/>
      <c r="K219" s="32"/>
      <c r="L219" s="32"/>
      <c r="M219" s="32"/>
      <c r="N219" s="32"/>
      <c r="O219" s="32"/>
      <c r="P219" s="32"/>
      <c r="Q219" s="32"/>
    </row>
    <row r="220" spans="1:17" hidden="1" x14ac:dyDescent="0.2">
      <c r="A220" s="32"/>
      <c r="B220" s="32"/>
      <c r="C220" s="32"/>
      <c r="D220" s="32"/>
      <c r="E220" s="32"/>
      <c r="F220" s="32"/>
      <c r="G220" s="32"/>
      <c r="H220" s="32"/>
      <c r="I220" s="32"/>
      <c r="J220" s="32"/>
      <c r="K220" s="32"/>
      <c r="L220" s="32"/>
      <c r="M220" s="32"/>
      <c r="N220" s="32"/>
      <c r="O220" s="32"/>
      <c r="P220" s="32"/>
      <c r="Q220" s="32"/>
    </row>
    <row r="221" spans="1:17" hidden="1" x14ac:dyDescent="0.2">
      <c r="A221" s="32"/>
      <c r="B221" s="32"/>
      <c r="C221" s="32"/>
      <c r="D221" s="32"/>
      <c r="E221" s="32"/>
      <c r="F221" s="32"/>
      <c r="G221" s="32"/>
      <c r="H221" s="32"/>
      <c r="I221" s="32"/>
      <c r="J221" s="32"/>
      <c r="K221" s="32"/>
      <c r="L221" s="32"/>
      <c r="M221" s="32"/>
      <c r="N221" s="32"/>
      <c r="O221" s="32"/>
      <c r="P221" s="32"/>
      <c r="Q221" s="32"/>
    </row>
    <row r="222" spans="1:17" hidden="1" x14ac:dyDescent="0.2">
      <c r="A222" s="32"/>
      <c r="B222" s="32"/>
      <c r="C222" s="32"/>
      <c r="D222" s="32"/>
      <c r="E222" s="32"/>
      <c r="F222" s="32"/>
      <c r="G222" s="32"/>
      <c r="H222" s="32"/>
      <c r="I222" s="32"/>
      <c r="J222" s="32"/>
      <c r="K222" s="32"/>
      <c r="L222" s="32"/>
      <c r="M222" s="32"/>
      <c r="N222" s="32"/>
      <c r="O222" s="32"/>
      <c r="P222" s="32"/>
      <c r="Q222" s="32"/>
    </row>
    <row r="223" spans="1:17" hidden="1" x14ac:dyDescent="0.2">
      <c r="A223" s="32"/>
      <c r="B223" s="32"/>
      <c r="C223" s="32"/>
      <c r="D223" s="32"/>
      <c r="E223" s="32"/>
      <c r="F223" s="32"/>
      <c r="G223" s="32"/>
      <c r="H223" s="32"/>
      <c r="I223" s="32"/>
      <c r="J223" s="32"/>
      <c r="K223" s="32"/>
      <c r="L223" s="32"/>
      <c r="M223" s="32"/>
      <c r="N223" s="32"/>
      <c r="O223" s="32"/>
      <c r="P223" s="32"/>
      <c r="Q223" s="32"/>
    </row>
    <row r="224" spans="1:17" hidden="1" x14ac:dyDescent="0.2">
      <c r="A224" s="32"/>
      <c r="B224" s="32"/>
      <c r="C224" s="32"/>
      <c r="D224" s="32"/>
      <c r="E224" s="32"/>
      <c r="F224" s="32"/>
      <c r="G224" s="32"/>
      <c r="H224" s="32"/>
      <c r="I224" s="32"/>
      <c r="J224" s="32"/>
      <c r="K224" s="32"/>
      <c r="L224" s="32"/>
      <c r="M224" s="32"/>
      <c r="N224" s="32"/>
      <c r="O224" s="32"/>
      <c r="P224" s="32"/>
      <c r="Q224" s="32"/>
    </row>
    <row r="225" spans="1:17" hidden="1" x14ac:dyDescent="0.2">
      <c r="A225" s="32"/>
      <c r="B225" s="32"/>
      <c r="C225" s="32"/>
      <c r="D225" s="32"/>
      <c r="E225" s="32"/>
      <c r="F225" s="32"/>
      <c r="G225" s="32"/>
      <c r="H225" s="32"/>
      <c r="I225" s="32"/>
      <c r="J225" s="32"/>
      <c r="K225" s="32"/>
      <c r="L225" s="32"/>
      <c r="M225" s="32"/>
      <c r="N225" s="32"/>
      <c r="O225" s="32"/>
      <c r="P225" s="32"/>
      <c r="Q225" s="32"/>
    </row>
    <row r="226" spans="1:17" hidden="1" x14ac:dyDescent="0.2">
      <c r="A226" s="32"/>
      <c r="B226" s="32"/>
      <c r="C226" s="32"/>
      <c r="D226" s="32"/>
      <c r="E226" s="32"/>
      <c r="F226" s="32"/>
      <c r="H226" s="32"/>
      <c r="I226" s="32"/>
      <c r="J226" s="32"/>
      <c r="K226" s="32"/>
      <c r="L226" s="32"/>
      <c r="M226" s="32"/>
      <c r="N226" s="32"/>
      <c r="O226" s="32"/>
      <c r="P226" s="32"/>
      <c r="Q226" s="32"/>
    </row>
    <row r="227" spans="1:17" hidden="1" x14ac:dyDescent="0.2">
      <c r="A227" s="32"/>
      <c r="B227" s="32"/>
      <c r="C227" s="32"/>
      <c r="D227" s="32"/>
      <c r="E227" s="32"/>
      <c r="F227" s="32"/>
      <c r="H227" s="32"/>
      <c r="I227" s="32"/>
      <c r="J227" s="32"/>
      <c r="K227" s="32"/>
      <c r="L227" s="32"/>
      <c r="M227" s="32"/>
      <c r="N227" s="32"/>
      <c r="O227" s="32"/>
      <c r="P227" s="32"/>
      <c r="Q227" s="32"/>
    </row>
    <row r="228" spans="1:17" hidden="1" x14ac:dyDescent="0.2">
      <c r="A228" s="32"/>
      <c r="B228" s="32"/>
      <c r="C228" s="32"/>
      <c r="D228" s="32"/>
      <c r="E228" s="32"/>
      <c r="F228" s="32"/>
      <c r="H228" s="32"/>
      <c r="I228" s="32"/>
      <c r="J228" s="32"/>
      <c r="K228" s="32"/>
      <c r="L228" s="32"/>
      <c r="M228" s="32"/>
      <c r="N228" s="32"/>
      <c r="O228" s="32"/>
      <c r="P228" s="32"/>
      <c r="Q228" s="32"/>
    </row>
    <row r="229" spans="1:17" hidden="1" x14ac:dyDescent="0.2">
      <c r="A229" s="32"/>
      <c r="B229" s="32"/>
      <c r="C229" s="32"/>
      <c r="D229" s="32"/>
      <c r="E229" s="32"/>
      <c r="F229" s="32"/>
      <c r="H229" s="32"/>
      <c r="I229" s="32"/>
      <c r="J229" s="32"/>
      <c r="K229" s="32"/>
      <c r="L229" s="32"/>
      <c r="M229" s="32"/>
      <c r="N229" s="32"/>
      <c r="O229" s="32"/>
      <c r="P229" s="32"/>
      <c r="Q229" s="32"/>
    </row>
    <row r="230" spans="1:17" hidden="1" x14ac:dyDescent="0.2">
      <c r="A230" s="32"/>
      <c r="B230" s="32"/>
      <c r="C230" s="32"/>
      <c r="D230" s="32"/>
      <c r="E230" s="32"/>
      <c r="F230" s="32"/>
      <c r="H230" s="32"/>
      <c r="I230" s="32"/>
      <c r="J230" s="32"/>
      <c r="K230" s="32"/>
      <c r="L230" s="32"/>
      <c r="M230" s="32"/>
      <c r="N230" s="32"/>
      <c r="O230" s="32"/>
      <c r="P230" s="32"/>
      <c r="Q230" s="32"/>
    </row>
    <row r="231" spans="1:17" hidden="1" x14ac:dyDescent="0.2">
      <c r="A231" s="32"/>
      <c r="B231" s="32"/>
      <c r="C231" s="32"/>
      <c r="D231" s="32"/>
      <c r="E231" s="32"/>
      <c r="F231" s="32"/>
      <c r="H231" s="32"/>
      <c r="I231" s="32"/>
      <c r="J231" s="32"/>
      <c r="K231" s="32"/>
      <c r="L231" s="32"/>
      <c r="M231" s="32"/>
      <c r="N231" s="32"/>
      <c r="O231" s="32"/>
      <c r="P231" s="32"/>
      <c r="Q231" s="32"/>
    </row>
    <row r="232" spans="1:17" hidden="1" x14ac:dyDescent="0.2">
      <c r="A232" s="32"/>
      <c r="B232" s="32"/>
      <c r="C232" s="32"/>
      <c r="D232" s="32"/>
      <c r="E232" s="32"/>
      <c r="F232" s="32"/>
      <c r="H232" s="32"/>
      <c r="I232" s="32"/>
      <c r="J232" s="32"/>
      <c r="K232" s="32"/>
      <c r="L232" s="32"/>
      <c r="M232" s="32"/>
      <c r="N232" s="32"/>
      <c r="O232" s="32"/>
      <c r="P232" s="32"/>
      <c r="Q232" s="32"/>
    </row>
    <row r="233" spans="1:17" hidden="1" x14ac:dyDescent="0.2">
      <c r="A233" s="32"/>
      <c r="B233" s="32"/>
      <c r="C233" s="32"/>
      <c r="D233" s="32"/>
      <c r="E233" s="32"/>
      <c r="F233" s="32"/>
      <c r="H233" s="32"/>
      <c r="I233" s="32"/>
      <c r="J233" s="32"/>
      <c r="K233" s="32"/>
      <c r="L233" s="32"/>
      <c r="M233" s="32"/>
      <c r="N233" s="32"/>
      <c r="O233" s="32"/>
      <c r="P233" s="32"/>
      <c r="Q233" s="32"/>
    </row>
    <row r="234" spans="1:17" hidden="1" x14ac:dyDescent="0.2">
      <c r="A234" s="32"/>
      <c r="B234" s="32"/>
      <c r="C234" s="32"/>
      <c r="D234" s="32"/>
      <c r="E234" s="32"/>
      <c r="F234" s="32"/>
      <c r="H234" s="32"/>
      <c r="I234" s="32"/>
      <c r="J234" s="32"/>
      <c r="K234" s="32"/>
      <c r="L234" s="32"/>
      <c r="M234" s="32"/>
      <c r="N234" s="32"/>
      <c r="O234" s="32"/>
      <c r="P234" s="32"/>
      <c r="Q234" s="32"/>
    </row>
    <row r="235" spans="1:17" hidden="1" x14ac:dyDescent="0.2">
      <c r="A235" s="32"/>
      <c r="B235" s="32"/>
      <c r="C235" s="32"/>
      <c r="D235" s="32"/>
      <c r="E235" s="32"/>
      <c r="F235" s="32"/>
      <c r="H235" s="32"/>
      <c r="I235" s="32"/>
      <c r="J235" s="32"/>
      <c r="K235" s="32"/>
      <c r="L235" s="32"/>
      <c r="M235" s="32"/>
      <c r="N235" s="32"/>
      <c r="O235" s="32"/>
      <c r="P235" s="32"/>
      <c r="Q235" s="32"/>
    </row>
    <row r="236" spans="1:17" hidden="1" x14ac:dyDescent="0.2">
      <c r="A236" s="32"/>
      <c r="B236" s="32"/>
      <c r="C236" s="32"/>
      <c r="D236" s="32"/>
      <c r="E236" s="32"/>
      <c r="F236" s="32"/>
      <c r="H236" s="32"/>
      <c r="I236" s="32"/>
      <c r="J236" s="32"/>
      <c r="K236" s="32"/>
      <c r="L236" s="32"/>
      <c r="M236" s="32"/>
      <c r="N236" s="32"/>
      <c r="O236" s="32"/>
      <c r="P236" s="32"/>
      <c r="Q236" s="32"/>
    </row>
    <row r="237" spans="1:17" hidden="1" x14ac:dyDescent="0.2">
      <c r="A237" s="32"/>
      <c r="B237" s="32"/>
      <c r="C237" s="32"/>
      <c r="D237" s="32"/>
      <c r="E237" s="32"/>
      <c r="F237" s="32"/>
      <c r="H237" s="32"/>
      <c r="I237" s="32"/>
      <c r="J237" s="32"/>
      <c r="K237" s="32"/>
      <c r="L237" s="32"/>
      <c r="M237" s="32"/>
      <c r="N237" s="32"/>
      <c r="O237" s="32"/>
      <c r="P237" s="32"/>
      <c r="Q237" s="32"/>
    </row>
    <row r="238" spans="1:17" hidden="1" x14ac:dyDescent="0.2">
      <c r="A238" s="32"/>
      <c r="B238" s="32"/>
      <c r="C238" s="32"/>
      <c r="D238" s="32"/>
      <c r="E238" s="32"/>
      <c r="F238" s="32"/>
      <c r="H238" s="32"/>
      <c r="I238" s="32"/>
      <c r="J238" s="32"/>
      <c r="K238" s="32"/>
      <c r="L238" s="32"/>
      <c r="M238" s="32"/>
      <c r="N238" s="32"/>
      <c r="O238" s="32"/>
      <c r="P238" s="32"/>
      <c r="Q238" s="32"/>
    </row>
    <row r="239" spans="1:17" hidden="1" x14ac:dyDescent="0.2">
      <c r="A239" s="32"/>
      <c r="B239" s="32"/>
      <c r="C239" s="32"/>
      <c r="D239" s="32"/>
      <c r="E239" s="32"/>
      <c r="F239" s="32"/>
      <c r="H239" s="32"/>
      <c r="I239" s="32"/>
      <c r="J239" s="32"/>
      <c r="K239" s="32"/>
      <c r="L239" s="32"/>
      <c r="M239" s="32"/>
      <c r="N239" s="32"/>
      <c r="O239" s="32"/>
      <c r="P239" s="32"/>
      <c r="Q239" s="32"/>
    </row>
    <row r="240" spans="1:17" hidden="1" x14ac:dyDescent="0.2">
      <c r="A240" s="32"/>
      <c r="B240" s="32"/>
      <c r="C240" s="32"/>
      <c r="D240" s="32"/>
      <c r="E240" s="32"/>
      <c r="F240" s="32"/>
      <c r="H240" s="32"/>
      <c r="I240" s="32"/>
      <c r="J240" s="32"/>
      <c r="K240" s="32"/>
      <c r="L240" s="32"/>
      <c r="M240" s="32"/>
      <c r="N240" s="32"/>
      <c r="O240" s="32"/>
      <c r="P240" s="32"/>
      <c r="Q240" s="32"/>
    </row>
    <row r="241" spans="1:17" hidden="1" x14ac:dyDescent="0.2">
      <c r="A241" s="32"/>
      <c r="B241" s="32"/>
      <c r="C241" s="32"/>
      <c r="D241" s="32"/>
      <c r="E241" s="32"/>
      <c r="F241" s="32"/>
      <c r="H241" s="32"/>
      <c r="I241" s="32"/>
      <c r="J241" s="32"/>
      <c r="K241" s="32"/>
      <c r="L241" s="32"/>
      <c r="M241" s="32"/>
      <c r="N241" s="32"/>
      <c r="O241" s="32"/>
      <c r="P241" s="32"/>
      <c r="Q241" s="32"/>
    </row>
    <row r="242" spans="1:17" hidden="1" x14ac:dyDescent="0.2">
      <c r="A242" s="32"/>
      <c r="B242" s="32"/>
      <c r="C242" s="32"/>
      <c r="D242" s="32"/>
      <c r="E242" s="32"/>
      <c r="F242" s="32"/>
      <c r="H242" s="32"/>
      <c r="I242" s="32"/>
      <c r="J242" s="32"/>
      <c r="K242" s="32"/>
      <c r="L242" s="32"/>
      <c r="M242" s="32"/>
      <c r="N242" s="32"/>
      <c r="O242" s="32"/>
      <c r="P242" s="32"/>
      <c r="Q242" s="32"/>
    </row>
    <row r="243" spans="1:17" hidden="1" x14ac:dyDescent="0.2">
      <c r="A243" s="32"/>
      <c r="B243" s="32"/>
      <c r="C243" s="32"/>
      <c r="D243" s="32"/>
      <c r="E243" s="32"/>
      <c r="F243" s="32"/>
      <c r="H243" s="32"/>
      <c r="I243" s="32"/>
      <c r="J243" s="32"/>
      <c r="K243" s="32"/>
      <c r="L243" s="32"/>
      <c r="M243" s="32"/>
      <c r="N243" s="32"/>
      <c r="O243" s="32"/>
      <c r="P243" s="32"/>
      <c r="Q243" s="32"/>
    </row>
    <row r="244" spans="1:17" hidden="1" x14ac:dyDescent="0.2">
      <c r="A244" s="32"/>
      <c r="B244" s="32"/>
      <c r="C244" s="32"/>
      <c r="D244" s="32"/>
      <c r="E244" s="32"/>
      <c r="F244" s="32"/>
      <c r="H244" s="32"/>
      <c r="I244" s="32"/>
      <c r="J244" s="32"/>
      <c r="K244" s="32"/>
      <c r="L244" s="32"/>
      <c r="M244" s="32"/>
      <c r="N244" s="32"/>
      <c r="O244" s="32"/>
      <c r="P244" s="32"/>
      <c r="Q244" s="32"/>
    </row>
    <row r="245" spans="1:17" hidden="1" x14ac:dyDescent="0.2">
      <c r="A245" s="32"/>
      <c r="B245" s="32"/>
      <c r="C245" s="32"/>
      <c r="D245" s="32"/>
      <c r="E245" s="32"/>
      <c r="F245" s="32"/>
      <c r="H245" s="32"/>
      <c r="I245" s="32"/>
      <c r="J245" s="32"/>
      <c r="K245" s="32"/>
      <c r="L245" s="32"/>
      <c r="M245" s="32"/>
      <c r="N245" s="32"/>
      <c r="O245" s="32"/>
      <c r="P245" s="32"/>
      <c r="Q245" s="32"/>
    </row>
    <row r="246" spans="1:17" hidden="1" x14ac:dyDescent="0.2">
      <c r="A246" s="32"/>
      <c r="B246" s="32"/>
      <c r="C246" s="32"/>
      <c r="D246" s="32"/>
      <c r="E246" s="32"/>
      <c r="F246" s="32"/>
      <c r="H246" s="32"/>
      <c r="I246" s="32"/>
      <c r="J246" s="32"/>
      <c r="K246" s="32"/>
      <c r="L246" s="32"/>
      <c r="M246" s="32"/>
      <c r="N246" s="32"/>
      <c r="O246" s="32"/>
      <c r="P246" s="32"/>
      <c r="Q246" s="32"/>
    </row>
    <row r="247" spans="1:17" hidden="1" x14ac:dyDescent="0.2">
      <c r="A247" s="32"/>
      <c r="B247" s="32"/>
      <c r="C247" s="32"/>
      <c r="D247" s="32"/>
      <c r="E247" s="32"/>
      <c r="F247" s="32"/>
      <c r="H247" s="32"/>
      <c r="I247" s="32"/>
      <c r="J247" s="32"/>
      <c r="K247" s="32"/>
      <c r="L247" s="32"/>
      <c r="M247" s="32"/>
      <c r="N247" s="32"/>
      <c r="O247" s="32"/>
      <c r="P247" s="32"/>
      <c r="Q247" s="32"/>
    </row>
    <row r="248" spans="1:17" hidden="1" x14ac:dyDescent="0.2">
      <c r="A248" s="32"/>
      <c r="B248" s="32"/>
      <c r="C248" s="32"/>
      <c r="D248" s="32"/>
      <c r="E248" s="32"/>
      <c r="F248" s="32"/>
      <c r="H248" s="32"/>
      <c r="I248" s="32"/>
      <c r="J248" s="32"/>
      <c r="K248" s="32"/>
      <c r="L248" s="32"/>
      <c r="M248" s="32"/>
      <c r="N248" s="32"/>
      <c r="O248" s="32"/>
      <c r="P248" s="32"/>
      <c r="Q248" s="32"/>
    </row>
    <row r="249" spans="1:17" hidden="1" x14ac:dyDescent="0.2">
      <c r="A249" s="32"/>
      <c r="B249" s="32"/>
      <c r="C249" s="32"/>
      <c r="D249" s="32"/>
      <c r="E249" s="32"/>
      <c r="F249" s="32"/>
      <c r="H249" s="32"/>
      <c r="I249" s="32"/>
      <c r="J249" s="32"/>
      <c r="K249" s="32"/>
      <c r="L249" s="32"/>
      <c r="M249" s="32"/>
      <c r="N249" s="32"/>
      <c r="O249" s="32"/>
      <c r="P249" s="32"/>
      <c r="Q249" s="32"/>
    </row>
    <row r="250" spans="1:17" hidden="1" x14ac:dyDescent="0.2">
      <c r="A250" s="32"/>
      <c r="B250" s="32"/>
      <c r="C250" s="32"/>
      <c r="D250" s="32"/>
      <c r="E250" s="32"/>
      <c r="F250" s="32"/>
      <c r="H250" s="32"/>
      <c r="K250" s="32"/>
      <c r="L250" s="32"/>
      <c r="M250" s="32"/>
      <c r="N250" s="32"/>
      <c r="O250" s="32"/>
      <c r="P250" s="32"/>
      <c r="Q250" s="32"/>
    </row>
    <row r="251" spans="1:17" hidden="1" x14ac:dyDescent="0.2">
      <c r="A251" s="32"/>
      <c r="B251" s="32"/>
      <c r="C251" s="32"/>
      <c r="D251" s="32"/>
      <c r="E251" s="32"/>
      <c r="F251" s="32"/>
      <c r="H251" s="32"/>
      <c r="K251" s="32"/>
      <c r="L251" s="32"/>
      <c r="M251" s="32"/>
      <c r="N251" s="32"/>
      <c r="O251" s="32"/>
      <c r="P251" s="32"/>
      <c r="Q251" s="32"/>
    </row>
    <row r="252" spans="1:17" hidden="1" x14ac:dyDescent="0.2">
      <c r="A252" s="32"/>
      <c r="B252" s="32"/>
      <c r="C252" s="32"/>
      <c r="D252" s="32"/>
      <c r="E252" s="32"/>
      <c r="F252" s="32"/>
      <c r="H252" s="32"/>
      <c r="K252" s="32"/>
      <c r="L252" s="32"/>
      <c r="M252" s="32"/>
      <c r="N252" s="32"/>
      <c r="O252" s="32"/>
      <c r="P252" s="32"/>
      <c r="Q252" s="32"/>
    </row>
    <row r="253" spans="1:17" hidden="1" x14ac:dyDescent="0.2">
      <c r="A253" s="32"/>
      <c r="B253" s="32"/>
      <c r="C253" s="32"/>
      <c r="D253" s="32"/>
      <c r="E253" s="32"/>
      <c r="F253" s="32"/>
      <c r="H253" s="32"/>
      <c r="K253" s="32"/>
      <c r="L253" s="32"/>
      <c r="M253" s="32"/>
      <c r="N253" s="32"/>
      <c r="O253" s="32"/>
      <c r="P253" s="32"/>
      <c r="Q253" s="32"/>
    </row>
    <row r="254" spans="1:17" hidden="1" x14ac:dyDescent="0.2">
      <c r="A254" s="32"/>
      <c r="B254" s="32"/>
      <c r="C254" s="32"/>
      <c r="D254" s="32"/>
      <c r="E254" s="32"/>
      <c r="F254" s="32"/>
      <c r="H254" s="32"/>
      <c r="K254" s="32"/>
      <c r="L254" s="32"/>
      <c r="M254" s="32"/>
      <c r="N254" s="32"/>
      <c r="O254" s="32"/>
      <c r="P254" s="32"/>
      <c r="Q254" s="32"/>
    </row>
    <row r="255" spans="1:17" hidden="1" x14ac:dyDescent="0.2">
      <c r="A255" s="32"/>
      <c r="B255" s="32"/>
      <c r="C255" s="32"/>
      <c r="D255" s="32"/>
      <c r="E255" s="32"/>
      <c r="F255" s="32"/>
      <c r="H255" s="32"/>
      <c r="K255" s="32"/>
      <c r="L255" s="32"/>
      <c r="M255" s="32"/>
      <c r="N255" s="32"/>
      <c r="O255" s="32"/>
      <c r="P255" s="32"/>
      <c r="Q255" s="32"/>
    </row>
    <row r="256" spans="1:17" hidden="1" x14ac:dyDescent="0.2">
      <c r="A256" s="32"/>
      <c r="B256" s="32"/>
      <c r="C256" s="32"/>
      <c r="D256" s="32"/>
      <c r="E256" s="32"/>
      <c r="F256" s="32"/>
      <c r="H256" s="32"/>
      <c r="K256" s="32"/>
      <c r="L256" s="32"/>
      <c r="M256" s="32"/>
      <c r="N256" s="32"/>
      <c r="O256" s="32"/>
      <c r="P256" s="32"/>
      <c r="Q256" s="32"/>
    </row>
    <row r="257" spans="1:17" hidden="1" x14ac:dyDescent="0.2">
      <c r="A257" s="32"/>
      <c r="B257" s="32"/>
      <c r="C257" s="32"/>
      <c r="D257" s="32"/>
      <c r="E257" s="32"/>
      <c r="F257" s="32"/>
      <c r="H257" s="32"/>
      <c r="K257" s="32"/>
      <c r="L257" s="32"/>
      <c r="M257" s="32"/>
      <c r="N257" s="32"/>
      <c r="O257" s="32"/>
      <c r="P257" s="32"/>
      <c r="Q257" s="32"/>
    </row>
    <row r="258" spans="1:17" hidden="1" x14ac:dyDescent="0.2">
      <c r="A258" s="32"/>
      <c r="B258" s="32"/>
      <c r="C258" s="32"/>
      <c r="D258" s="32"/>
      <c r="E258" s="32"/>
      <c r="F258" s="32"/>
      <c r="H258" s="32"/>
      <c r="K258" s="32"/>
      <c r="L258" s="32"/>
      <c r="M258" s="32"/>
      <c r="N258" s="32"/>
      <c r="O258" s="32"/>
      <c r="P258" s="32"/>
      <c r="Q258" s="32"/>
    </row>
    <row r="259" spans="1:17" hidden="1" x14ac:dyDescent="0.2">
      <c r="A259" s="32"/>
      <c r="B259" s="32"/>
      <c r="C259" s="32"/>
      <c r="D259" s="32"/>
      <c r="E259" s="32"/>
      <c r="F259" s="32"/>
      <c r="H259" s="32"/>
      <c r="K259" s="32"/>
      <c r="L259" s="32"/>
      <c r="M259" s="32"/>
      <c r="N259" s="32"/>
      <c r="O259" s="32"/>
      <c r="P259" s="32"/>
      <c r="Q259" s="32"/>
    </row>
    <row r="260" spans="1:17" hidden="1" x14ac:dyDescent="0.2">
      <c r="A260" s="32"/>
      <c r="B260" s="32"/>
      <c r="C260" s="32"/>
      <c r="D260" s="32"/>
      <c r="E260" s="32"/>
      <c r="F260" s="32"/>
      <c r="H260" s="32"/>
      <c r="K260" s="32"/>
      <c r="L260" s="32"/>
      <c r="M260" s="32"/>
      <c r="N260" s="32"/>
      <c r="O260" s="32"/>
      <c r="P260" s="32"/>
      <c r="Q260" s="32"/>
    </row>
    <row r="261" spans="1:17" hidden="1" x14ac:dyDescent="0.2">
      <c r="A261" s="32"/>
      <c r="B261" s="32"/>
      <c r="C261" s="32"/>
      <c r="D261" s="32"/>
      <c r="E261" s="32"/>
      <c r="F261" s="32"/>
      <c r="H261" s="32"/>
      <c r="K261" s="32"/>
      <c r="L261" s="32"/>
      <c r="M261" s="32"/>
      <c r="N261" s="32"/>
      <c r="O261" s="32"/>
      <c r="P261" s="32"/>
      <c r="Q261" s="32"/>
    </row>
    <row r="262" spans="1:17" hidden="1" x14ac:dyDescent="0.2">
      <c r="A262" s="32"/>
      <c r="B262" s="32"/>
      <c r="C262" s="32"/>
      <c r="D262" s="32"/>
      <c r="E262" s="32"/>
      <c r="F262" s="32"/>
      <c r="H262" s="32"/>
      <c r="K262" s="32"/>
      <c r="L262" s="32"/>
      <c r="M262" s="32"/>
      <c r="N262" s="32"/>
      <c r="O262" s="32"/>
      <c r="P262" s="32"/>
      <c r="Q262" s="32"/>
    </row>
    <row r="263" spans="1:17" hidden="1" x14ac:dyDescent="0.2">
      <c r="A263" s="32"/>
    </row>
    <row r="264" spans="1:17" hidden="1" x14ac:dyDescent="0.2">
      <c r="A264" s="32"/>
    </row>
    <row r="265" spans="1:17" hidden="1" x14ac:dyDescent="0.2">
      <c r="A265" s="32"/>
    </row>
    <row r="266" spans="1:17" hidden="1" x14ac:dyDescent="0.2">
      <c r="A266" s="32"/>
    </row>
    <row r="267" spans="1:17" hidden="1" x14ac:dyDescent="0.2">
      <c r="A267" s="32"/>
    </row>
    <row r="268" spans="1:17" hidden="1" x14ac:dyDescent="0.2">
      <c r="A268" s="32"/>
    </row>
    <row r="269" spans="1:17" hidden="1" x14ac:dyDescent="0.2">
      <c r="A269" s="32"/>
    </row>
    <row r="270" spans="1:17" hidden="1" x14ac:dyDescent="0.2">
      <c r="A270" s="32"/>
    </row>
    <row r="271" spans="1:17" hidden="1" x14ac:dyDescent="0.2">
      <c r="A271" s="32"/>
    </row>
    <row r="272" spans="1:17" hidden="1" x14ac:dyDescent="0.2">
      <c r="A272" s="32"/>
    </row>
    <row r="273" spans="1:1" hidden="1" x14ac:dyDescent="0.2">
      <c r="A273" s="32"/>
    </row>
    <row r="274" spans="1:1" hidden="1" x14ac:dyDescent="0.2">
      <c r="A274" s="32"/>
    </row>
    <row r="275" spans="1:1" hidden="1" x14ac:dyDescent="0.2">
      <c r="A275" s="32"/>
    </row>
    <row r="276" spans="1:1" hidden="1" x14ac:dyDescent="0.2">
      <c r="A276" s="32"/>
    </row>
    <row r="277" spans="1:1" hidden="1" x14ac:dyDescent="0.2">
      <c r="A277" s="32"/>
    </row>
    <row r="278" spans="1:1" hidden="1" x14ac:dyDescent="0.2">
      <c r="A278" s="32"/>
    </row>
    <row r="279" spans="1:1" hidden="1" x14ac:dyDescent="0.2">
      <c r="A279" s="32"/>
    </row>
    <row r="280" spans="1:1" hidden="1" x14ac:dyDescent="0.2">
      <c r="A280" s="32"/>
    </row>
    <row r="281" spans="1:1" hidden="1" x14ac:dyDescent="0.2">
      <c r="A281" s="32"/>
    </row>
    <row r="282" spans="1:1" hidden="1" x14ac:dyDescent="0.2">
      <c r="A282" s="32"/>
    </row>
    <row r="283" spans="1:1" hidden="1" x14ac:dyDescent="0.2">
      <c r="A283" s="32"/>
    </row>
    <row r="284" spans="1:1" hidden="1" x14ac:dyDescent="0.2">
      <c r="A284" s="32"/>
    </row>
    <row r="285" spans="1:1" hidden="1" x14ac:dyDescent="0.2">
      <c r="A285" s="32"/>
    </row>
    <row r="286" spans="1:1" hidden="1" x14ac:dyDescent="0.2">
      <c r="A286" s="32"/>
    </row>
    <row r="287" spans="1:1" hidden="1" x14ac:dyDescent="0.2">
      <c r="A287" s="32"/>
    </row>
    <row r="288" spans="1:1" hidden="1" x14ac:dyDescent="0.2">
      <c r="A288" s="32"/>
    </row>
    <row r="289" spans="1:1" hidden="1" x14ac:dyDescent="0.2">
      <c r="A289" s="32"/>
    </row>
    <row r="290" spans="1:1" hidden="1" x14ac:dyDescent="0.2">
      <c r="A290" s="32"/>
    </row>
    <row r="291" spans="1:1" hidden="1" x14ac:dyDescent="0.2">
      <c r="A291" s="32"/>
    </row>
    <row r="292" spans="1:1" hidden="1" x14ac:dyDescent="0.2">
      <c r="A292" s="32"/>
    </row>
    <row r="293" spans="1:1" hidden="1" x14ac:dyDescent="0.2">
      <c r="A293" s="32"/>
    </row>
    <row r="294" spans="1:1" hidden="1" x14ac:dyDescent="0.2">
      <c r="A294" s="32"/>
    </row>
    <row r="295" spans="1:1" hidden="1" x14ac:dyDescent="0.2">
      <c r="A295" s="32"/>
    </row>
    <row r="296" spans="1:1" hidden="1" x14ac:dyDescent="0.2">
      <c r="A296" s="32"/>
    </row>
    <row r="297" spans="1:1" hidden="1" x14ac:dyDescent="0.2">
      <c r="A297" s="32"/>
    </row>
    <row r="298" spans="1:1" hidden="1" x14ac:dyDescent="0.2">
      <c r="A298" s="32"/>
    </row>
    <row r="299" spans="1:1" hidden="1" x14ac:dyDescent="0.2">
      <c r="A299" s="32"/>
    </row>
    <row r="300" spans="1:1" hidden="1" x14ac:dyDescent="0.2">
      <c r="A300" s="32"/>
    </row>
    <row r="301" spans="1:1" hidden="1" x14ac:dyDescent="0.2">
      <c r="A301" s="32"/>
    </row>
    <row r="302" spans="1:1" hidden="1" x14ac:dyDescent="0.2">
      <c r="A302" s="32"/>
    </row>
    <row r="303" spans="1:1" x14ac:dyDescent="0.2"/>
    <row r="304" spans="1:1" x14ac:dyDescent="0.2"/>
    <row r="305" x14ac:dyDescent="0.2"/>
    <row r="306" x14ac:dyDescent="0.2"/>
    <row r="307" x14ac:dyDescent="0.2"/>
    <row r="308" x14ac:dyDescent="0.2"/>
    <row r="309" x14ac:dyDescent="0.2"/>
    <row r="310" x14ac:dyDescent="0.2"/>
  </sheetData>
  <sheetProtection algorithmName="SHA-512" hashValue="6/PAsCsYFiUd1wf973KHyvpzZ75ln02/b5l2LwBYBew0llUHYTcAj6APvlsvt7ZqARi/PPQqxV/5OQBWWeIKxg==" saltValue="zyTqpHogIbiEAwja5LMnlw=="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B13:G32">
    <cfRule type="expression" dxfId="589" priority="7">
      <formula>$F13&gt;0</formula>
    </cfRule>
    <cfRule type="expression" dxfId="588" priority="8">
      <formula>$F13&lt;0</formula>
    </cfRule>
  </conditionalFormatting>
  <conditionalFormatting sqref="B41:G82 B89:F115 B125:F162">
    <cfRule type="expression" dxfId="587" priority="15">
      <formula>$F41&gt;0</formula>
    </cfRule>
    <cfRule type="expression" dxfId="586" priority="16">
      <formula>$F41&lt;0</formula>
    </cfRule>
  </conditionalFormatting>
  <conditionalFormatting sqref="G5:G8">
    <cfRule type="containsText" dxfId="585" priority="64" operator="containsText" text="Yes">
      <formula>NOT(ISERROR(SEARCH("Yes",G5)))</formula>
    </cfRule>
    <cfRule type="containsText" dxfId="584" priority="65" operator="containsText" text="No">
      <formula>NOT(ISERROR(SEARCH("No",G5)))</formula>
    </cfRule>
  </conditionalFormatting>
  <conditionalFormatting sqref="G89:G106 G108">
    <cfRule type="expression" dxfId="583" priority="3">
      <formula>$G89&gt;0</formula>
    </cfRule>
    <cfRule type="expression" dxfId="582" priority="4">
      <formula>$G89&lt;0</formula>
    </cfRule>
  </conditionalFormatting>
  <conditionalFormatting sqref="G110:G115">
    <cfRule type="expression" dxfId="581" priority="13">
      <formula>$G110&gt;0</formula>
    </cfRule>
    <cfRule type="expression" dxfId="580" priority="14">
      <formula>$G110&lt;0</formula>
    </cfRule>
  </conditionalFormatting>
  <conditionalFormatting sqref="H3">
    <cfRule type="cellIs" dxfId="579" priority="94" operator="equal">
      <formula>"Check Proposed Habitat Trading"</formula>
    </cfRule>
    <cfRule type="cellIs" dxfId="578" priority="95" operator="equal">
      <formula>"Overall Trading Acceptable"</formula>
    </cfRule>
  </conditionalFormatting>
  <conditionalFormatting sqref="I13:J13">
    <cfRule type="containsText" dxfId="577" priority="6" operator="containsText" text="Very high distinctiveness unit defecit - CHECK DATA">
      <formula>NOT(ISERROR(SEARCH("Very high distinctiveness unit defecit - CHECK DATA",I13)))</formula>
    </cfRule>
  </conditionalFormatting>
  <conditionalFormatting sqref="J12">
    <cfRule type="cellIs" dxfId="576" priority="67" operator="greaterThan">
      <formula>0</formula>
    </cfRule>
    <cfRule type="cellIs" dxfId="575" priority="68" operator="lessThan">
      <formula>0</formula>
    </cfRule>
  </conditionalFormatting>
  <conditionalFormatting sqref="J40:J41">
    <cfRule type="cellIs" dxfId="574" priority="60" operator="greaterThan">
      <formula>0</formula>
    </cfRule>
    <cfRule type="cellIs" dxfId="573" priority="62" operator="lessThan">
      <formula>0</formula>
    </cfRule>
  </conditionalFormatting>
  <conditionalFormatting sqref="J88 J90:J91 J125:J126">
    <cfRule type="cellIs" dxfId="572" priority="35" operator="greaterThan">
      <formula>0</formula>
    </cfRule>
  </conditionalFormatting>
  <conditionalFormatting sqref="J88:J91">
    <cfRule type="cellIs" dxfId="571" priority="31" operator="lessThan">
      <formula>0</formula>
    </cfRule>
  </conditionalFormatting>
  <conditionalFormatting sqref="J125:J126">
    <cfRule type="cellIs" dxfId="570" priority="34" operator="lessThan">
      <formula>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907fc8f-83bb-4de5-95f9-999809e373cb">
      <Terms xmlns="http://schemas.microsoft.com/office/infopath/2007/PartnerControls"/>
    </lcf76f155ced4ddcb4097134ff3c332f>
    <TaxCatchAll xmlns="28ae5fcb-608d-464b-b3da-85012db768fd" xsi:nil="true"/>
    <Approved_x0020_for_x0020_issue xmlns="2907fc8f-83bb-4de5-95f9-999809e373cb">false</Approved_x0020_for_x0020_issue>
    <_Flow_SignoffStatus xmlns="2907fc8f-83bb-4de5-95f9-999809e373c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6C50C0D3EC90419A4E20189EBF1D1F" ma:contentTypeVersion="19" ma:contentTypeDescription="Create a new document." ma:contentTypeScope="" ma:versionID="587f50c7cfa162684ba1e8388393f6db">
  <xsd:schema xmlns:xsd="http://www.w3.org/2001/XMLSchema" xmlns:xs="http://www.w3.org/2001/XMLSchema" xmlns:p="http://schemas.microsoft.com/office/2006/metadata/properties" xmlns:ns2="2907fc8f-83bb-4de5-95f9-999809e373cb" xmlns:ns3="7b8826bf-b454-4b24-b1f5-30c1bfb080a1" xmlns:ns4="28ae5fcb-608d-464b-b3da-85012db768fd" targetNamespace="http://schemas.microsoft.com/office/2006/metadata/properties" ma:root="true" ma:fieldsID="fefe437f63ccbfeab5c62cb388a88d3f" ns2:_="" ns3:_="" ns4:_="">
    <xsd:import namespace="2907fc8f-83bb-4de5-95f9-999809e373cb"/>
    <xsd:import namespace="7b8826bf-b454-4b24-b1f5-30c1bfb080a1"/>
    <xsd:import namespace="28ae5fcb-608d-464b-b3da-85012db768fd"/>
    <xsd:element name="properties">
      <xsd:complexType>
        <xsd:sequence>
          <xsd:element name="documentManagement">
            <xsd:complexType>
              <xsd:all>
                <xsd:element ref="ns2:Approved_x0020_for_x0020_issue" minOccurs="0"/>
                <xsd:element ref="ns2:_Flow_SignoffStatus"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07fc8f-83bb-4de5-95f9-999809e373cb" elementFormDefault="qualified">
    <xsd:import namespace="http://schemas.microsoft.com/office/2006/documentManagement/types"/>
    <xsd:import namespace="http://schemas.microsoft.com/office/infopath/2007/PartnerControls"/>
    <xsd:element name="Approved_x0020_for_x0020_issue" ma:index="8" nillable="true" ma:displayName="Approved for issue" ma:default="0" ma:internalName="Approved_x0020_for_x0020_issue" ma:readOnly="false">
      <xsd:simpleType>
        <xsd:restriction base="dms:Boolean"/>
      </xsd:simpleType>
    </xsd:element>
    <xsd:element name="_Flow_SignoffStatus" ma:index="9" nillable="true" ma:displayName="Sign-off status" ma:internalName="Sign_x002d_off_x0020_status" ma:readOnly="false">
      <xsd:simpleType>
        <xsd:restriction base="dms:Text"/>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ffb2afa-0461-4a25-b7e7-e28982f86d9a"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8826bf-b454-4b24-b1f5-30c1bfb080a1"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ae5fcb-608d-464b-b3da-85012db768f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8acf7bc5-1b59-46ac-88f1-47086b77c410}" ma:internalName="TaxCatchAll" ma:showField="CatchAllData" ma:web="28ae5fcb-608d-464b-b3da-85012db768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8E80E-3650-4921-9D0F-F779F71661B1}">
  <ds:schemaRefs>
    <ds:schemaRef ds:uri="http://schemas.microsoft.com/office/2006/metadata/properties"/>
    <ds:schemaRef ds:uri="http://schemas.microsoft.com/office/infopath/2007/PartnerControls"/>
    <ds:schemaRef ds:uri="662745e8-e224-48e8-a2e3-254862b8c2f5"/>
    <ds:schemaRef ds:uri="c2882a20-fcb3-4e62-b082-ac21ed701140"/>
    <ds:schemaRef ds:uri="985fba9f-4fd9-459f-88b7-9ab35902e0a9"/>
    <ds:schemaRef ds:uri="101b26f5-a03d-4b2d-a3ce-ef0d5c9713cd"/>
  </ds:schemaRefs>
</ds:datastoreItem>
</file>

<file path=customXml/itemProps2.xml><?xml version="1.0" encoding="utf-8"?>
<ds:datastoreItem xmlns:ds="http://schemas.openxmlformats.org/officeDocument/2006/customXml" ds:itemID="{DD42C5EB-0A43-4830-89D6-D17DAC1E2509}"/>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Snape, Matthew</cp:lastModifiedBy>
  <cp:revision/>
  <dcterms:created xsi:type="dcterms:W3CDTF">2018-04-09T09:41:18Z</dcterms:created>
  <dcterms:modified xsi:type="dcterms:W3CDTF">2025-10-02T15:26:07Z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0x0101006C6C50C0D3EC90419A4E20189EBF1D1F</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y fmtid="{D5CDD505-2E9C-101B-9397-08002B2CF9AE}" pid="13" name="SV_QUERY_LIST_4F35BF76-6C0D-4D9B-82B2-816C12CF3733">
    <vt:lpwstr>empty_477D106A-C0D6-4607-AEBD-E2C9D60EA279</vt:lpwstr>
  </property>
  <property fmtid="{D5CDD505-2E9C-101B-9397-08002B2CF9AE}" pid="14" name="SV_HIDDEN_GRID_QUERY_LIST_4F35BF76-6C0D-4D9B-82B2-816C12CF3733">
    <vt:lpwstr>empty_477D106A-C0D6-4607-AEBD-E2C9D60EA279</vt:lpwstr>
  </property>
</Properties>
</file>